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drawings/drawing3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drawings/drawing4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drawings/drawing5.xml" ContentType="application/vnd.openxmlformats-officedocument.drawing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drawings/drawing6.xml" ContentType="application/vnd.openxmlformats-officedocument.drawing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drawings/drawing7.xml" ContentType="application/vnd.openxmlformats-officedocument.drawing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drawings/drawing8.xml" ContentType="application/vnd.openxmlformats-officedocument.drawing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hidePivotFieldList="1"/>
  <bookViews>
    <workbookView xWindow="0" yWindow="0" windowWidth="20490" windowHeight="7650" tabRatio="875" activeTab="13"/>
  </bookViews>
  <sheets>
    <sheet name="1" sheetId="113" r:id="rId1"/>
    <sheet name="2" sheetId="48" r:id="rId2"/>
    <sheet name="3" sheetId="107" r:id="rId3"/>
    <sheet name="4" sheetId="101" r:id="rId4"/>
    <sheet name="5" sheetId="2" r:id="rId5"/>
    <sheet name="6" sheetId="91" r:id="rId6"/>
    <sheet name="7" sheetId="92" r:id="rId7"/>
    <sheet name="8" sheetId="106" r:id="rId8"/>
    <sheet name="9" sheetId="109" r:id="rId9"/>
    <sheet name="10" sheetId="110" r:id="rId10"/>
    <sheet name="11" sheetId="54" r:id="rId11"/>
    <sheet name="12" sheetId="114" r:id="rId12"/>
    <sheet name="13" sheetId="87" r:id="rId13"/>
    <sheet name="14" sheetId="88" r:id="rId14"/>
    <sheet name="15" sheetId="98" r:id="rId15"/>
  </sheets>
  <definedNames>
    <definedName name="_xlnm._FilterDatabase" localSheetId="1" hidden="1">'2'!$A$3:$C$53</definedName>
    <definedName name="_xlnm._FilterDatabase" localSheetId="4" hidden="1">'5'!$C$5:$F$39</definedName>
    <definedName name="_xlnm._FilterDatabase" localSheetId="8" hidden="1">'9'!$A$4:$C$62</definedName>
    <definedName name="Z_25CCFC00_B2A0_11D5_BB28_0001029D9AF1_.wvu.Cols" localSheetId="1" hidden="1">'2'!#REF!</definedName>
    <definedName name="Z_25CCFC00_B2A0_11D5_BB28_0001029D9AF1_.wvu.PrintArea" localSheetId="1" hidden="1">'2'!$A$1:$C$33</definedName>
    <definedName name="Z_25CCFC00_B2A0_11D5_BB28_0001029D9AF1_.wvu.PrintArea" localSheetId="2" hidden="1">'3'!#REF!</definedName>
    <definedName name="_xlnm.Print_Area" localSheetId="0">'1'!$A$1:$J$39</definedName>
    <definedName name="_xlnm.Print_Area" localSheetId="9">'10'!$B$1:$E$88</definedName>
    <definedName name="_xlnm.Print_Area" localSheetId="10">'11'!$B$1:$I$44</definedName>
    <definedName name="_xlnm.Print_Area" localSheetId="11">'12'!$A$1:$B$14</definedName>
    <definedName name="_xlnm.Print_Area" localSheetId="12">'13'!$B$1:$I$92</definedName>
    <definedName name="_xlnm.Print_Area" localSheetId="13">'14'!$B$1:$I$83</definedName>
    <definedName name="_xlnm.Print_Area" localSheetId="14">'15'!$B$1:$D$49</definedName>
    <definedName name="_xlnm.Print_Area" localSheetId="1">'2'!$A$1:$C$53</definedName>
    <definedName name="_xlnm.Print_Area" localSheetId="2">'3'!$B$1:$I$63</definedName>
    <definedName name="_xlnm.Print_Area" localSheetId="3">'4'!$B$1:$H$42</definedName>
    <definedName name="_xlnm.Print_Area" localSheetId="4">'5'!$B$1:$E$62</definedName>
    <definedName name="_xlnm.Print_Area" localSheetId="5">'6'!$B$1:$H$61</definedName>
    <definedName name="_xlnm.Print_Area" localSheetId="6">'7'!$B$1:$E$40</definedName>
    <definedName name="_xlnm.Print_Area" localSheetId="7">'8'!$B$1:$H$45</definedName>
    <definedName name="_xlnm.Print_Area" localSheetId="8">'9'!$B$1:$F$63</definedName>
  </definedNames>
  <calcPr calcId="162913"/>
</workbook>
</file>

<file path=xl/calcChain.xml><?xml version="1.0" encoding="utf-8"?>
<calcChain xmlns="http://schemas.openxmlformats.org/spreadsheetml/2006/main">
  <c r="E52" i="109" l="1"/>
  <c r="D52" i="109"/>
  <c r="C52" i="109"/>
  <c r="E8" i="109"/>
  <c r="D8" i="109"/>
  <c r="C8" i="109"/>
  <c r="D11" i="88" l="1"/>
  <c r="C11" i="88"/>
  <c r="E35" i="87"/>
  <c r="D35" i="87"/>
  <c r="E17" i="87"/>
  <c r="D17" i="87"/>
  <c r="E16" i="87"/>
  <c r="D16" i="87"/>
  <c r="D27" i="2" l="1"/>
  <c r="C27" i="2"/>
  <c r="E80" i="87" l="1"/>
  <c r="D80" i="87"/>
  <c r="I92" i="87" l="1"/>
  <c r="H92" i="87"/>
  <c r="I89" i="87"/>
  <c r="H89" i="87"/>
  <c r="I88" i="87"/>
  <c r="H88" i="87"/>
  <c r="I87" i="87"/>
  <c r="H87" i="87"/>
  <c r="I86" i="87"/>
  <c r="H86" i="87"/>
  <c r="I85" i="87"/>
  <c r="H85" i="87"/>
  <c r="I84" i="87"/>
  <c r="H84" i="87"/>
  <c r="I67" i="87"/>
  <c r="H67" i="87"/>
  <c r="I66" i="87"/>
  <c r="H66" i="87"/>
  <c r="I65" i="87"/>
  <c r="H65" i="87"/>
  <c r="I64" i="87"/>
  <c r="H64" i="87"/>
  <c r="I63" i="87"/>
  <c r="H63" i="87"/>
  <c r="I55" i="87"/>
  <c r="H55" i="87"/>
  <c r="I54" i="87"/>
  <c r="H54" i="87"/>
  <c r="I53" i="87"/>
  <c r="H53" i="87"/>
  <c r="I52" i="87"/>
  <c r="H52" i="87"/>
  <c r="I39" i="87" l="1"/>
  <c r="H39" i="87"/>
  <c r="I38" i="87"/>
  <c r="H38" i="87"/>
  <c r="I37" i="87"/>
  <c r="H37" i="87"/>
  <c r="I36" i="87"/>
  <c r="H36" i="87"/>
  <c r="I35" i="87"/>
  <c r="H35" i="87"/>
  <c r="I34" i="87"/>
  <c r="H34" i="87"/>
  <c r="I33" i="87"/>
  <c r="H33" i="87"/>
  <c r="I32" i="87"/>
  <c r="H32" i="87"/>
  <c r="I31" i="87"/>
  <c r="H31" i="87"/>
  <c r="I30" i="87"/>
  <c r="H30" i="87"/>
  <c r="I29" i="87"/>
  <c r="H29" i="87"/>
  <c r="I28" i="87"/>
  <c r="H28" i="87"/>
  <c r="I27" i="87"/>
  <c r="H27" i="87"/>
  <c r="I23" i="87"/>
  <c r="H23" i="87"/>
  <c r="I22" i="87"/>
  <c r="H22" i="87"/>
  <c r="I21" i="87"/>
  <c r="H21" i="87"/>
  <c r="I20" i="87"/>
  <c r="H20" i="87"/>
  <c r="I19" i="87"/>
  <c r="H19" i="87"/>
  <c r="I18" i="87"/>
  <c r="H18" i="87"/>
  <c r="I17" i="87"/>
  <c r="H17" i="87"/>
  <c r="I16" i="87"/>
  <c r="H16" i="87"/>
  <c r="I15" i="87"/>
  <c r="H15" i="87"/>
  <c r="I14" i="87"/>
  <c r="H14" i="87"/>
  <c r="I13" i="87"/>
  <c r="H13" i="87"/>
  <c r="I12" i="87"/>
  <c r="H12" i="87"/>
  <c r="I11" i="87"/>
  <c r="H11" i="87"/>
  <c r="I10" i="87"/>
  <c r="H10" i="87"/>
  <c r="I9" i="87"/>
  <c r="H9" i="87"/>
  <c r="I8" i="87"/>
  <c r="H8" i="87"/>
  <c r="I7" i="87"/>
  <c r="H7" i="87"/>
  <c r="H31" i="88"/>
  <c r="G31" i="88"/>
  <c r="H30" i="88"/>
  <c r="G30" i="88"/>
  <c r="H29" i="88"/>
  <c r="G29" i="88"/>
  <c r="H16" i="88"/>
  <c r="G16" i="88"/>
  <c r="H15" i="88"/>
  <c r="G15" i="88"/>
  <c r="H14" i="88"/>
  <c r="G14" i="88"/>
  <c r="H13" i="88"/>
  <c r="G13" i="88"/>
  <c r="H12" i="88"/>
  <c r="G12" i="88"/>
  <c r="H11" i="88"/>
  <c r="G11" i="88"/>
  <c r="H10" i="88"/>
  <c r="G10" i="88"/>
  <c r="H9" i="88"/>
  <c r="G9" i="88"/>
  <c r="H8" i="88"/>
  <c r="G8" i="88"/>
  <c r="H7" i="88"/>
  <c r="G7" i="88"/>
  <c r="H6" i="88"/>
  <c r="G6" i="88"/>
  <c r="D82" i="88"/>
  <c r="C82" i="88"/>
  <c r="D81" i="88"/>
  <c r="C81" i="88"/>
  <c r="D80" i="88"/>
  <c r="C80" i="88"/>
  <c r="D79" i="88"/>
  <c r="C79" i="88"/>
  <c r="D78" i="88"/>
  <c r="C78" i="88"/>
  <c r="D77" i="88"/>
  <c r="C77" i="88"/>
  <c r="D76" i="88"/>
  <c r="C76" i="88"/>
  <c r="D75" i="88"/>
  <c r="C75" i="88"/>
  <c r="D74" i="88"/>
  <c r="C74" i="88"/>
  <c r="D73" i="88"/>
  <c r="C73" i="88"/>
  <c r="D72" i="88"/>
  <c r="C72" i="88"/>
  <c r="D71" i="88"/>
  <c r="C71" i="88"/>
  <c r="D70" i="88"/>
  <c r="C70" i="88"/>
  <c r="D69" i="88"/>
  <c r="C69" i="88"/>
  <c r="D68" i="88"/>
  <c r="C68" i="88"/>
  <c r="D31" i="88"/>
  <c r="C31" i="88"/>
  <c r="D16" i="88"/>
  <c r="C16" i="88"/>
  <c r="D15" i="88"/>
  <c r="C15" i="88"/>
  <c r="D14" i="88"/>
  <c r="C14" i="88"/>
  <c r="D13" i="88"/>
  <c r="C13" i="88"/>
  <c r="D12" i="88"/>
  <c r="C12" i="88"/>
  <c r="D30" i="88"/>
  <c r="C30" i="88"/>
  <c r="D29" i="88"/>
  <c r="C29" i="88"/>
  <c r="D10" i="88"/>
  <c r="C10" i="88"/>
  <c r="D9" i="88"/>
  <c r="C9" i="88"/>
  <c r="D8" i="88"/>
  <c r="C8" i="88"/>
  <c r="D7" i="88"/>
  <c r="C7" i="88"/>
  <c r="D6" i="88"/>
  <c r="C6" i="88"/>
  <c r="D47" i="98"/>
  <c r="C47" i="98"/>
  <c r="D43" i="98"/>
  <c r="C43" i="98"/>
  <c r="D39" i="98"/>
  <c r="C39" i="98"/>
  <c r="D35" i="98"/>
  <c r="C35" i="98"/>
  <c r="D34" i="98"/>
  <c r="C34" i="98"/>
  <c r="D33" i="98"/>
  <c r="C33" i="98"/>
  <c r="D32" i="98"/>
  <c r="C32" i="98"/>
  <c r="D31" i="98"/>
  <c r="C31" i="98"/>
  <c r="D30" i="98"/>
  <c r="C30" i="98"/>
  <c r="D26" i="98"/>
  <c r="C26" i="98"/>
  <c r="D25" i="98"/>
  <c r="C25" i="98"/>
  <c r="D24" i="98"/>
  <c r="C24" i="98"/>
  <c r="D23" i="98"/>
  <c r="C23" i="98"/>
  <c r="D22" i="98"/>
  <c r="C22" i="98"/>
  <c r="D21" i="98"/>
  <c r="C21" i="98"/>
  <c r="D17" i="98"/>
  <c r="C17" i="98"/>
  <c r="D16" i="98"/>
  <c r="C16" i="98"/>
  <c r="D15" i="98"/>
  <c r="C15" i="98"/>
  <c r="D14" i="98"/>
  <c r="C14" i="98"/>
  <c r="D13" i="98"/>
  <c r="C13" i="98"/>
  <c r="D12" i="98"/>
  <c r="C12" i="98"/>
  <c r="D11" i="98"/>
  <c r="C11" i="98"/>
  <c r="D10" i="98"/>
  <c r="C10" i="98"/>
  <c r="D9" i="98"/>
  <c r="C9" i="98"/>
  <c r="D8" i="98"/>
  <c r="C8" i="98"/>
  <c r="D7" i="98"/>
  <c r="C7" i="98"/>
  <c r="D6" i="98"/>
  <c r="C6" i="98"/>
  <c r="E92" i="87" l="1"/>
  <c r="D92" i="87"/>
  <c r="E76" i="87"/>
  <c r="D76" i="87"/>
  <c r="E75" i="87"/>
  <c r="D75" i="87"/>
  <c r="E71" i="87"/>
  <c r="D71" i="87"/>
  <c r="E67" i="87"/>
  <c r="D67" i="87"/>
  <c r="E66" i="87"/>
  <c r="D66" i="87"/>
  <c r="E59" i="87"/>
  <c r="D59" i="87"/>
  <c r="E55" i="87"/>
  <c r="D55" i="87"/>
  <c r="E39" i="87"/>
  <c r="D39" i="87"/>
  <c r="E38" i="87"/>
  <c r="D38" i="87"/>
  <c r="E37" i="87"/>
  <c r="D37" i="87"/>
  <c r="E36" i="87"/>
  <c r="D36" i="87"/>
  <c r="E23" i="87"/>
  <c r="D23" i="87"/>
  <c r="E22" i="87"/>
  <c r="D22" i="87"/>
  <c r="E21" i="87"/>
  <c r="D21" i="87"/>
  <c r="E20" i="87"/>
  <c r="D20" i="87"/>
  <c r="E19" i="87"/>
  <c r="D19" i="87"/>
  <c r="E18" i="87"/>
  <c r="D18" i="87"/>
  <c r="E89" i="87"/>
  <c r="D89" i="87"/>
  <c r="E88" i="87"/>
  <c r="D88" i="87"/>
  <c r="E87" i="87"/>
  <c r="D87" i="87"/>
  <c r="E86" i="87"/>
  <c r="D86" i="87"/>
  <c r="E85" i="87"/>
  <c r="D85" i="87"/>
  <c r="E84" i="87"/>
  <c r="D84" i="87"/>
  <c r="E65" i="87"/>
  <c r="D65" i="87"/>
  <c r="E64" i="87"/>
  <c r="D64" i="87"/>
  <c r="E63" i="87"/>
  <c r="D63" i="87"/>
  <c r="E54" i="87"/>
  <c r="D54" i="87"/>
  <c r="E53" i="87"/>
  <c r="D53" i="87"/>
  <c r="E52" i="87"/>
  <c r="D52" i="87"/>
  <c r="E48" i="87"/>
  <c r="D48" i="87"/>
  <c r="E47" i="87"/>
  <c r="D47" i="87"/>
  <c r="E46" i="87"/>
  <c r="D46" i="87"/>
  <c r="E45" i="87"/>
  <c r="D45" i="87"/>
  <c r="E44" i="87"/>
  <c r="D44" i="87"/>
  <c r="E43" i="87"/>
  <c r="D43" i="87"/>
  <c r="E34" i="87"/>
  <c r="D34" i="87"/>
  <c r="E33" i="87"/>
  <c r="D33" i="87"/>
  <c r="E32" i="87"/>
  <c r="D32" i="87"/>
  <c r="E31" i="87"/>
  <c r="D31" i="87"/>
  <c r="E30" i="87"/>
  <c r="D30" i="87"/>
  <c r="E29" i="87"/>
  <c r="D29" i="87"/>
  <c r="E28" i="87"/>
  <c r="D28" i="87"/>
  <c r="E27" i="87"/>
  <c r="D27" i="87"/>
  <c r="E15" i="87"/>
  <c r="D15" i="87"/>
  <c r="E14" i="87"/>
  <c r="D14" i="87"/>
  <c r="E13" i="87"/>
  <c r="D13" i="87"/>
  <c r="E12" i="87"/>
  <c r="D12" i="87"/>
  <c r="E11" i="87"/>
  <c r="D11" i="87"/>
  <c r="E10" i="87"/>
  <c r="D10" i="87"/>
  <c r="E9" i="87"/>
  <c r="D9" i="87"/>
  <c r="E8" i="87"/>
  <c r="D8" i="87"/>
  <c r="E7" i="87"/>
  <c r="D7" i="87"/>
  <c r="D60" i="2" l="1"/>
  <c r="D59" i="2"/>
  <c r="H14" i="106" l="1"/>
  <c r="H13" i="106"/>
  <c r="H12" i="106"/>
  <c r="H11" i="106"/>
  <c r="H10" i="106"/>
  <c r="H9" i="106"/>
  <c r="H8" i="106"/>
  <c r="H7" i="106"/>
  <c r="H6" i="106"/>
  <c r="H5" i="106"/>
  <c r="C44" i="106"/>
  <c r="C43" i="106"/>
  <c r="C42" i="106"/>
  <c r="C41" i="106"/>
  <c r="C40" i="106"/>
  <c r="C26" i="106"/>
  <c r="C25" i="106"/>
  <c r="C24" i="106"/>
  <c r="C23" i="106"/>
  <c r="C22" i="106"/>
  <c r="C21" i="106"/>
  <c r="C20" i="106"/>
  <c r="C19" i="106"/>
  <c r="C18" i="106"/>
  <c r="C17" i="106"/>
  <c r="C16" i="106"/>
  <c r="C15" i="106"/>
  <c r="C14" i="106"/>
  <c r="C13" i="106"/>
  <c r="C12" i="106"/>
  <c r="C11" i="106"/>
  <c r="C10" i="106"/>
  <c r="C9" i="106"/>
  <c r="C8" i="106"/>
  <c r="C7" i="106"/>
  <c r="C6" i="106"/>
  <c r="C5" i="106"/>
  <c r="D22" i="92"/>
  <c r="C22" i="92"/>
  <c r="D21" i="92"/>
  <c r="C21" i="92"/>
  <c r="D20" i="92"/>
  <c r="C20" i="92"/>
  <c r="D19" i="92"/>
  <c r="C19" i="92"/>
  <c r="D18" i="92"/>
  <c r="C18" i="92"/>
  <c r="D17" i="92"/>
  <c r="C17" i="92"/>
  <c r="D16" i="92"/>
  <c r="C16" i="92"/>
  <c r="D15" i="92"/>
  <c r="C15" i="92"/>
  <c r="D14" i="92"/>
  <c r="C14" i="92"/>
  <c r="D13" i="92"/>
  <c r="C13" i="92"/>
  <c r="D12" i="92"/>
  <c r="C12" i="92"/>
  <c r="D11" i="92"/>
  <c r="C11" i="92"/>
  <c r="D10" i="92"/>
  <c r="C10" i="92"/>
  <c r="D9" i="92"/>
  <c r="C9" i="92"/>
  <c r="D8" i="92"/>
  <c r="C8" i="92"/>
  <c r="D7" i="92"/>
  <c r="C7" i="92"/>
  <c r="E12" i="91"/>
  <c r="E11" i="91"/>
  <c r="E10" i="91"/>
  <c r="C12" i="91"/>
  <c r="C11" i="91"/>
  <c r="C10" i="91"/>
  <c r="C9" i="91"/>
  <c r="C8" i="91"/>
  <c r="C7" i="91"/>
  <c r="C6" i="91"/>
  <c r="C5" i="91"/>
  <c r="H11" i="91"/>
  <c r="H10" i="91"/>
  <c r="H9" i="91"/>
  <c r="H8" i="91"/>
  <c r="H7" i="91"/>
  <c r="H6" i="91"/>
  <c r="H5" i="91"/>
  <c r="H48" i="91"/>
  <c r="H47" i="91"/>
  <c r="H46" i="91"/>
  <c r="H45" i="91"/>
  <c r="D40" i="91"/>
  <c r="C40" i="91"/>
  <c r="D39" i="91"/>
  <c r="C39" i="91"/>
  <c r="D38" i="91"/>
  <c r="C38" i="91"/>
  <c r="D37" i="91"/>
  <c r="C37" i="91"/>
  <c r="D31" i="91"/>
  <c r="C31" i="91"/>
  <c r="D30" i="91"/>
  <c r="C30" i="91"/>
  <c r="D29" i="91"/>
  <c r="C29" i="91"/>
  <c r="D28" i="91"/>
  <c r="C28" i="91"/>
  <c r="D27" i="91"/>
  <c r="C27" i="91"/>
  <c r="D26" i="91"/>
  <c r="C26" i="91"/>
  <c r="C25" i="91"/>
  <c r="D24" i="91"/>
  <c r="C24" i="91"/>
  <c r="D23" i="91"/>
  <c r="C23" i="91"/>
  <c r="D22" i="91"/>
  <c r="C22" i="91"/>
  <c r="D21" i="91"/>
  <c r="C21" i="91"/>
  <c r="D20" i="91"/>
  <c r="C20" i="91"/>
  <c r="D19" i="91"/>
  <c r="C19" i="91"/>
  <c r="H32" i="91"/>
  <c r="H31" i="91"/>
  <c r="H30" i="91"/>
  <c r="H29" i="91"/>
  <c r="H28" i="91"/>
  <c r="H27" i="91"/>
  <c r="H26" i="91"/>
  <c r="H25" i="91"/>
  <c r="H24" i="91"/>
  <c r="H23" i="91"/>
  <c r="H22" i="91"/>
  <c r="H21" i="91"/>
  <c r="H20" i="91"/>
  <c r="H19" i="91"/>
  <c r="H18" i="91"/>
  <c r="D62" i="2"/>
  <c r="D57" i="2"/>
  <c r="D55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C35" i="106"/>
  <c r="C34" i="106"/>
  <c r="C33" i="106"/>
  <c r="C32" i="106"/>
  <c r="C31" i="106"/>
  <c r="H25" i="106"/>
  <c r="E58" i="109" l="1"/>
  <c r="E54" i="109"/>
  <c r="D54" i="109"/>
  <c r="C54" i="109"/>
  <c r="E53" i="109"/>
  <c r="D53" i="109"/>
  <c r="C53" i="109"/>
  <c r="E51" i="109"/>
  <c r="D51" i="109"/>
  <c r="E47" i="109"/>
  <c r="E46" i="109"/>
  <c r="D46" i="109"/>
  <c r="E45" i="109"/>
  <c r="D45" i="109"/>
  <c r="E41" i="109"/>
  <c r="D41" i="109"/>
  <c r="C41" i="109"/>
  <c r="E40" i="109"/>
  <c r="D40" i="109"/>
  <c r="C40" i="109"/>
  <c r="D39" i="109"/>
  <c r="C39" i="109"/>
  <c r="D38" i="109"/>
  <c r="C38" i="109"/>
  <c r="E34" i="109"/>
  <c r="D34" i="109"/>
  <c r="C34" i="109"/>
  <c r="E33" i="109"/>
  <c r="D33" i="109"/>
  <c r="C33" i="109"/>
  <c r="E32" i="109"/>
  <c r="D32" i="109"/>
  <c r="C32" i="109"/>
  <c r="E31" i="109"/>
  <c r="D31" i="109"/>
  <c r="C31" i="109"/>
  <c r="D27" i="109"/>
  <c r="C27" i="109"/>
  <c r="E23" i="109"/>
  <c r="D23" i="109"/>
  <c r="C23" i="109"/>
  <c r="E22" i="109"/>
  <c r="D22" i="109"/>
  <c r="C22" i="109"/>
  <c r="E21" i="109"/>
  <c r="D21" i="109"/>
  <c r="C21" i="109"/>
  <c r="E15" i="109"/>
  <c r="D15" i="109"/>
  <c r="E14" i="109"/>
  <c r="D14" i="109"/>
  <c r="C14" i="109"/>
  <c r="E13" i="109"/>
  <c r="D13" i="109"/>
  <c r="C13" i="109"/>
  <c r="E12" i="109"/>
  <c r="D12" i="109"/>
  <c r="C12" i="109"/>
  <c r="E11" i="109"/>
  <c r="D11" i="109"/>
  <c r="C11" i="109"/>
  <c r="E10" i="109"/>
  <c r="D10" i="109"/>
  <c r="C10" i="109"/>
  <c r="E9" i="109"/>
  <c r="D9" i="109"/>
  <c r="C9" i="109"/>
  <c r="E7" i="109"/>
  <c r="D7" i="109"/>
  <c r="C7" i="109"/>
  <c r="E6" i="109"/>
  <c r="D6" i="109"/>
  <c r="C6" i="109"/>
  <c r="E5" i="109"/>
  <c r="D5" i="109"/>
  <c r="C5" i="109"/>
  <c r="H41" i="101"/>
  <c r="G41" i="101"/>
  <c r="H40" i="101"/>
  <c r="G40" i="101"/>
  <c r="H39" i="101"/>
  <c r="G39" i="101"/>
  <c r="H38" i="101"/>
  <c r="G38" i="101"/>
  <c r="H37" i="101"/>
  <c r="G37" i="101"/>
  <c r="H36" i="101"/>
  <c r="H35" i="101"/>
  <c r="G35" i="101"/>
  <c r="H34" i="101"/>
  <c r="G34" i="101"/>
  <c r="H33" i="101"/>
  <c r="G33" i="101"/>
  <c r="H32" i="101"/>
  <c r="G32" i="101"/>
  <c r="H31" i="101"/>
  <c r="G31" i="101"/>
  <c r="H30" i="101"/>
  <c r="C22" i="101"/>
  <c r="C21" i="101"/>
  <c r="C20" i="101"/>
  <c r="H23" i="101"/>
  <c r="H22" i="101"/>
  <c r="H21" i="101"/>
  <c r="H20" i="101"/>
  <c r="C12" i="101"/>
  <c r="C11" i="101"/>
  <c r="C10" i="101"/>
  <c r="C9" i="101"/>
  <c r="C8" i="101"/>
  <c r="C7" i="101"/>
  <c r="C6" i="101"/>
  <c r="C5" i="101"/>
  <c r="D36" i="101"/>
  <c r="D30" i="101"/>
  <c r="C30" i="101"/>
  <c r="H11" i="101"/>
  <c r="H10" i="101"/>
  <c r="H9" i="101"/>
  <c r="H8" i="101"/>
  <c r="H7" i="101"/>
  <c r="H6" i="101"/>
  <c r="H5" i="101"/>
  <c r="F60" i="107"/>
  <c r="E60" i="107"/>
  <c r="F59" i="107"/>
  <c r="E59" i="107"/>
  <c r="D59" i="107"/>
  <c r="C59" i="107"/>
  <c r="I35" i="107"/>
  <c r="C40" i="107"/>
  <c r="C39" i="107"/>
  <c r="C38" i="107"/>
  <c r="C37" i="107"/>
  <c r="C36" i="107"/>
  <c r="C35" i="107"/>
  <c r="F37" i="107"/>
  <c r="F36" i="107"/>
  <c r="F35" i="107"/>
  <c r="H22" i="107"/>
  <c r="I21" i="107"/>
  <c r="H21" i="107"/>
  <c r="I20" i="107"/>
  <c r="H20" i="107"/>
  <c r="I19" i="107"/>
  <c r="H19" i="107"/>
  <c r="I18" i="107"/>
  <c r="H18" i="107"/>
  <c r="I17" i="107"/>
  <c r="H17" i="107"/>
  <c r="I16" i="107"/>
  <c r="H16" i="107"/>
  <c r="I15" i="107"/>
  <c r="H15" i="107"/>
  <c r="I14" i="107"/>
  <c r="H14" i="107"/>
  <c r="I13" i="107"/>
  <c r="H13" i="107"/>
  <c r="I12" i="107"/>
  <c r="H12" i="107"/>
  <c r="I11" i="107"/>
  <c r="H11" i="107"/>
  <c r="I10" i="107"/>
  <c r="H10" i="107"/>
  <c r="H9" i="107"/>
  <c r="H8" i="107"/>
  <c r="E23" i="107"/>
  <c r="C23" i="107"/>
  <c r="G22" i="107"/>
  <c r="F22" i="107"/>
  <c r="E22" i="107"/>
  <c r="C22" i="107"/>
  <c r="G21" i="107"/>
  <c r="F21" i="107"/>
  <c r="E21" i="107"/>
  <c r="D21" i="107"/>
  <c r="C21" i="107"/>
  <c r="G20" i="107"/>
  <c r="F20" i="107"/>
  <c r="E20" i="107"/>
  <c r="D20" i="107"/>
  <c r="C20" i="107"/>
  <c r="G19" i="107"/>
  <c r="F19" i="107"/>
  <c r="E19" i="107"/>
  <c r="D19" i="107"/>
  <c r="C19" i="107"/>
  <c r="G18" i="107"/>
  <c r="F18" i="107"/>
  <c r="E18" i="107"/>
  <c r="D18" i="107"/>
  <c r="C18" i="107"/>
  <c r="G17" i="107"/>
  <c r="F17" i="107"/>
  <c r="E17" i="107"/>
  <c r="D17" i="107"/>
  <c r="C17" i="107"/>
  <c r="G16" i="107"/>
  <c r="F16" i="107"/>
  <c r="E16" i="107"/>
  <c r="D16" i="107"/>
  <c r="C16" i="107"/>
  <c r="G15" i="107"/>
  <c r="F15" i="107"/>
  <c r="E15" i="107"/>
  <c r="D15" i="107"/>
  <c r="C15" i="107"/>
  <c r="G14" i="107"/>
  <c r="F14" i="107"/>
  <c r="E14" i="107"/>
  <c r="D14" i="107"/>
  <c r="C14" i="107"/>
  <c r="G13" i="107"/>
  <c r="F13" i="107"/>
  <c r="E13" i="107"/>
  <c r="D13" i="107"/>
  <c r="C13" i="107"/>
  <c r="G12" i="107"/>
  <c r="F12" i="107"/>
  <c r="E12" i="107"/>
  <c r="D12" i="107"/>
  <c r="C12" i="107"/>
  <c r="G11" i="107"/>
  <c r="F11" i="107"/>
  <c r="E11" i="107"/>
  <c r="D11" i="107"/>
  <c r="C11" i="107"/>
  <c r="G10" i="107"/>
  <c r="F10" i="107"/>
  <c r="E10" i="107"/>
  <c r="D10" i="107"/>
  <c r="C10" i="107"/>
  <c r="G9" i="107"/>
  <c r="F9" i="107"/>
  <c r="E9" i="107"/>
  <c r="D9" i="107"/>
  <c r="C9" i="107"/>
  <c r="G8" i="107"/>
  <c r="F8" i="107"/>
  <c r="E8" i="107"/>
  <c r="D8" i="107"/>
  <c r="C8" i="107"/>
  <c r="G7" i="107"/>
  <c r="F7" i="107"/>
  <c r="E7" i="107"/>
  <c r="D7" i="107"/>
  <c r="C7" i="107"/>
  <c r="I46" i="107"/>
  <c r="I45" i="107"/>
  <c r="C53" i="107"/>
  <c r="C52" i="107"/>
  <c r="D47" i="107"/>
  <c r="C47" i="107"/>
  <c r="D46" i="107"/>
  <c r="C46" i="107"/>
  <c r="F62" i="88" l="1"/>
  <c r="E62" i="88"/>
  <c r="F59" i="88"/>
  <c r="E59" i="88"/>
  <c r="F56" i="88"/>
  <c r="E56" i="88"/>
  <c r="F55" i="88"/>
  <c r="E55" i="88"/>
  <c r="F51" i="88"/>
  <c r="E51" i="88"/>
  <c r="F50" i="88"/>
  <c r="E50" i="88"/>
  <c r="F49" i="88"/>
  <c r="E49" i="88"/>
  <c r="F48" i="88"/>
  <c r="E48" i="88"/>
  <c r="F45" i="88"/>
  <c r="E45" i="88"/>
  <c r="F44" i="88"/>
  <c r="E44" i="88"/>
  <c r="F43" i="88"/>
  <c r="E43" i="88"/>
  <c r="F42" i="88"/>
  <c r="E42" i="88"/>
  <c r="F41" i="88"/>
  <c r="E41" i="88"/>
  <c r="F39" i="88"/>
  <c r="E39" i="88"/>
  <c r="F38" i="88"/>
  <c r="E38" i="88"/>
  <c r="F37" i="88"/>
  <c r="E37" i="88"/>
  <c r="F40" i="88"/>
  <c r="E40" i="88"/>
  <c r="F36" i="88"/>
  <c r="E36" i="88"/>
  <c r="F31" i="88"/>
  <c r="E31" i="88"/>
  <c r="F30" i="88"/>
  <c r="E30" i="88"/>
  <c r="F29" i="88"/>
  <c r="E29" i="88"/>
  <c r="F16" i="88"/>
  <c r="E16" i="88"/>
  <c r="F15" i="88"/>
  <c r="E15" i="88"/>
  <c r="F14" i="88"/>
  <c r="E14" i="88"/>
  <c r="F13" i="88"/>
  <c r="E13" i="88"/>
  <c r="F12" i="88"/>
  <c r="E12" i="88"/>
  <c r="F11" i="88"/>
  <c r="E11" i="88"/>
  <c r="F10" i="88"/>
  <c r="E10" i="88"/>
  <c r="F9" i="88"/>
  <c r="E9" i="88"/>
  <c r="F8" i="88"/>
  <c r="E8" i="88"/>
  <c r="F7" i="88"/>
  <c r="E7" i="88"/>
  <c r="F6" i="88"/>
  <c r="E6" i="88"/>
  <c r="G92" i="87"/>
  <c r="F92" i="87"/>
  <c r="G89" i="87"/>
  <c r="F89" i="87"/>
  <c r="G88" i="87"/>
  <c r="F88" i="87"/>
  <c r="G87" i="87"/>
  <c r="F87" i="87"/>
  <c r="G86" i="87"/>
  <c r="F86" i="87"/>
  <c r="G85" i="87"/>
  <c r="F85" i="87"/>
  <c r="G84" i="87"/>
  <c r="F84" i="87"/>
  <c r="G76" i="87"/>
  <c r="F76" i="87"/>
  <c r="G75" i="87"/>
  <c r="F75" i="87"/>
  <c r="G71" i="87"/>
  <c r="F71" i="87"/>
  <c r="G72" i="87"/>
  <c r="F72" i="87"/>
  <c r="G67" i="87"/>
  <c r="F67" i="87"/>
  <c r="G39" i="87"/>
  <c r="F39" i="87"/>
  <c r="G38" i="87"/>
  <c r="F38" i="87"/>
  <c r="G37" i="87"/>
  <c r="F37" i="87"/>
  <c r="G36" i="87"/>
  <c r="F36" i="87"/>
  <c r="G66" i="87"/>
  <c r="F66" i="87"/>
  <c r="G65" i="87"/>
  <c r="F65" i="87"/>
  <c r="G64" i="87"/>
  <c r="F64" i="87"/>
  <c r="G63" i="87"/>
  <c r="F63" i="87"/>
  <c r="G55" i="87"/>
  <c r="F55" i="87"/>
  <c r="G54" i="87"/>
  <c r="F54" i="87"/>
  <c r="G53" i="87"/>
  <c r="F53" i="87"/>
  <c r="G52" i="87"/>
  <c r="F52" i="87"/>
  <c r="G35" i="87"/>
  <c r="F35" i="87"/>
  <c r="G34" i="87"/>
  <c r="F34" i="87"/>
  <c r="G33" i="87"/>
  <c r="F33" i="87"/>
  <c r="G32" i="87"/>
  <c r="F32" i="87"/>
  <c r="G31" i="87"/>
  <c r="F31" i="87"/>
  <c r="G30" i="87"/>
  <c r="F30" i="87"/>
  <c r="G29" i="87"/>
  <c r="F29" i="87"/>
  <c r="G28" i="87"/>
  <c r="F28" i="87"/>
  <c r="G27" i="87"/>
  <c r="F27" i="87"/>
  <c r="G23" i="87"/>
  <c r="F23" i="87"/>
  <c r="G22" i="87"/>
  <c r="F22" i="87"/>
  <c r="G21" i="87"/>
  <c r="F21" i="87"/>
  <c r="G20" i="87"/>
  <c r="F20" i="87"/>
  <c r="G19" i="87"/>
  <c r="F19" i="87"/>
  <c r="G18" i="87"/>
  <c r="F18" i="87"/>
  <c r="G17" i="87"/>
  <c r="F17" i="87"/>
  <c r="G16" i="87"/>
  <c r="F16" i="87"/>
  <c r="G15" i="87"/>
  <c r="F15" i="87"/>
  <c r="G14" i="87"/>
  <c r="F14" i="87"/>
  <c r="G13" i="87"/>
  <c r="F13" i="87"/>
  <c r="G12" i="87"/>
  <c r="F12" i="87"/>
  <c r="G11" i="87"/>
  <c r="F11" i="87"/>
  <c r="G10" i="87"/>
  <c r="F10" i="87"/>
  <c r="G9" i="87"/>
  <c r="F9" i="87"/>
  <c r="G8" i="87"/>
  <c r="F8" i="87"/>
  <c r="G7" i="87"/>
  <c r="F7" i="87"/>
  <c r="H27" i="54" l="1"/>
  <c r="H26" i="54"/>
  <c r="G26" i="54"/>
  <c r="F26" i="54"/>
  <c r="E26" i="54"/>
  <c r="D26" i="54"/>
  <c r="C26" i="54"/>
  <c r="I17" i="54"/>
  <c r="I16" i="54"/>
  <c r="I15" i="54"/>
  <c r="H15" i="54"/>
  <c r="G15" i="54"/>
  <c r="F15" i="54"/>
  <c r="E15" i="54"/>
  <c r="D15" i="54"/>
  <c r="C15" i="54"/>
  <c r="I7" i="54"/>
  <c r="I6" i="54"/>
  <c r="H6" i="54"/>
  <c r="G6" i="54"/>
  <c r="F6" i="54"/>
  <c r="E6" i="54"/>
  <c r="D6" i="54"/>
  <c r="C6" i="54"/>
  <c r="H18" i="106" l="1"/>
  <c r="H17" i="106"/>
  <c r="I26" i="54" l="1"/>
  <c r="K15" i="54"/>
  <c r="J15" i="54"/>
  <c r="J6" i="54"/>
  <c r="C62" i="109" l="1"/>
  <c r="D20" i="88" l="1"/>
  <c r="D24" i="88" l="1"/>
  <c r="C24" i="88"/>
  <c r="C19" i="88" l="1"/>
  <c r="D19" i="88"/>
  <c r="C20" i="88"/>
  <c r="C21" i="88"/>
  <c r="D21" i="88"/>
  <c r="C22" i="88"/>
  <c r="D22" i="88"/>
  <c r="C23" i="88"/>
  <c r="D23" i="88"/>
  <c r="D18" i="88" l="1"/>
  <c r="C18" i="88"/>
</calcChain>
</file>

<file path=xl/sharedStrings.xml><?xml version="1.0" encoding="utf-8"?>
<sst xmlns="http://schemas.openxmlformats.org/spreadsheetml/2006/main" count="888" uniqueCount="490">
  <si>
    <t>DIN EN10230 PE-Strips</t>
  </si>
  <si>
    <r>
      <t xml:space="preserve">DIN EN10230 </t>
    </r>
    <r>
      <rPr>
        <b/>
        <sz val="9"/>
        <rFont val="Arial Cyr"/>
        <charset val="204"/>
      </rPr>
      <t>машинные</t>
    </r>
  </si>
  <si>
    <t>25-55</t>
  </si>
  <si>
    <t>35/40</t>
  </si>
  <si>
    <t>40-80</t>
  </si>
  <si>
    <t xml:space="preserve">DIN EN10230 </t>
  </si>
  <si>
    <t>гвозди специального назначения</t>
  </si>
  <si>
    <t>проволока стальная бронекабельная</t>
  </si>
  <si>
    <t>50-110</t>
  </si>
  <si>
    <t>6,1-9,9</t>
  </si>
  <si>
    <t>проволока оцинкованная для проводов и кабелей "Ж"</t>
  </si>
  <si>
    <t>сердечник стальной оцинкованный</t>
  </si>
  <si>
    <t xml:space="preserve">ГОСТ 6402            </t>
  </si>
  <si>
    <t xml:space="preserve">проволока колючая одноосная рифленая </t>
  </si>
  <si>
    <t>Проволока кардная</t>
  </si>
  <si>
    <t>ГОСТ 3875-83</t>
  </si>
  <si>
    <t>Группа качества поверхности "Б"</t>
  </si>
  <si>
    <t>16 - 90</t>
  </si>
  <si>
    <t>20 - 100</t>
  </si>
  <si>
    <t>25 - 100</t>
  </si>
  <si>
    <t>30 - 49</t>
  </si>
  <si>
    <t>30 - 90</t>
  </si>
  <si>
    <t>40-120</t>
  </si>
  <si>
    <t>ТС 71915393-042-2006</t>
  </si>
  <si>
    <t>размер, мм</t>
  </si>
  <si>
    <t>ШГ35,1 и выше</t>
  </si>
  <si>
    <t>проволока стальная н/у качественная</t>
  </si>
  <si>
    <t>Диаметр, мм</t>
  </si>
  <si>
    <t>ГОСТ 3282-74</t>
  </si>
  <si>
    <t>С</t>
  </si>
  <si>
    <t>ГОСТ 2246-70</t>
  </si>
  <si>
    <t>ГОСТ 4028-63</t>
  </si>
  <si>
    <t>ТУ 14-178-326-98</t>
  </si>
  <si>
    <t>ГВОЗДИ</t>
  </si>
  <si>
    <t>ГОСТ 4029-63</t>
  </si>
  <si>
    <t>ГОСТ 4030-63</t>
  </si>
  <si>
    <t>ГОСТ 4034-63</t>
  </si>
  <si>
    <t>ТУ 14-178-259-94</t>
  </si>
  <si>
    <t>ТУ 14-4-1161-82</t>
  </si>
  <si>
    <t>ГОСТ 1051-73</t>
  </si>
  <si>
    <t>ГОСТ 4543-71</t>
  </si>
  <si>
    <t>ГОСТ 1414-75</t>
  </si>
  <si>
    <t>А12</t>
  </si>
  <si>
    <t>марка стали</t>
  </si>
  <si>
    <t>размер (круг), мм</t>
  </si>
  <si>
    <t>КАЛИБРОВАННАЯ СТАЛЬ</t>
  </si>
  <si>
    <t>15Х-50Х</t>
  </si>
  <si>
    <t xml:space="preserve">АРМАТУРНАЯ ХОЛОДНОДЕФОРМИР. СТАЛЬ ПЕРИДИЧЕСКОГО ПРОФИЛЯ ДЛЯ ЖБК   </t>
  </si>
  <si>
    <t xml:space="preserve">действующие с 10 сентября 2001 г. </t>
  </si>
  <si>
    <t>проволока  из углеродистой конструкционной стали повышенного качества</t>
  </si>
  <si>
    <t>ГОСТ 792-67</t>
  </si>
  <si>
    <t>СВАРОЧНЫЕ МАТЕРИАЛЫ</t>
  </si>
  <si>
    <t>гвозди строительные</t>
  </si>
  <si>
    <t>гвозди толевые круглые</t>
  </si>
  <si>
    <t>гвозди кровельные</t>
  </si>
  <si>
    <t>гвозди тарные круглые</t>
  </si>
  <si>
    <t>гвозди проволочные шиферные</t>
  </si>
  <si>
    <t>гвозди винтовые</t>
  </si>
  <si>
    <t>углеродистая качественная сталь</t>
  </si>
  <si>
    <t>легированная сталь</t>
  </si>
  <si>
    <t>ГОСТ   5663-79</t>
  </si>
  <si>
    <t>Проволока  полиграфическая</t>
  </si>
  <si>
    <t>ГОСТ  7480-73</t>
  </si>
  <si>
    <t>проволока полиграфическая</t>
  </si>
  <si>
    <t>ГОСТ 1668-73</t>
  </si>
  <si>
    <t>ГОСТ 15892-70</t>
  </si>
  <si>
    <t>проволока перевязочная для воздушных линий связи</t>
  </si>
  <si>
    <t>проволока пружинная</t>
  </si>
  <si>
    <t>проволока для холодной высадки</t>
  </si>
  <si>
    <t>без покрытия</t>
  </si>
  <si>
    <t>2,5х50 (60)</t>
  </si>
  <si>
    <t>Гвозди толевые ГОСТ 4029-63</t>
  </si>
  <si>
    <t>3,5х40</t>
  </si>
  <si>
    <t>2,5х32 (40)</t>
  </si>
  <si>
    <t>2,2х50</t>
  </si>
  <si>
    <t>3,5х40 - 3,5х90</t>
  </si>
  <si>
    <t>4,5х90 - 4,5х120</t>
  </si>
  <si>
    <t>Цена, руб/тн</t>
  </si>
  <si>
    <t>ОЖ</t>
  </si>
  <si>
    <t>Приплаты:</t>
  </si>
  <si>
    <t>Мерная длина</t>
  </si>
  <si>
    <t>Шестигранный профиль</t>
  </si>
  <si>
    <t>Термообработка</t>
  </si>
  <si>
    <t>8,0 и менее</t>
  </si>
  <si>
    <t>12,1-25,0</t>
  </si>
  <si>
    <t>25,1-35,0</t>
  </si>
  <si>
    <t>35,1 и выше</t>
  </si>
  <si>
    <t>3ПС</t>
  </si>
  <si>
    <t>Размерная группа</t>
  </si>
  <si>
    <t>Диаметр</t>
  </si>
  <si>
    <t>Длина</t>
  </si>
  <si>
    <t>М6</t>
  </si>
  <si>
    <t>М8</t>
  </si>
  <si>
    <t>16-49</t>
  </si>
  <si>
    <t>М10</t>
  </si>
  <si>
    <t>М12</t>
  </si>
  <si>
    <t>50-120</t>
  </si>
  <si>
    <t>М14</t>
  </si>
  <si>
    <t>М16</t>
  </si>
  <si>
    <t>М18</t>
  </si>
  <si>
    <t>М20</t>
  </si>
  <si>
    <t>М22</t>
  </si>
  <si>
    <t>М24</t>
  </si>
  <si>
    <t>30-120</t>
  </si>
  <si>
    <t>М27</t>
  </si>
  <si>
    <t>50-60</t>
  </si>
  <si>
    <t>оцинкованный</t>
  </si>
  <si>
    <t>Болты</t>
  </si>
  <si>
    <t>Все ГОСТы</t>
  </si>
  <si>
    <t>ТУ 14-4-933-78</t>
  </si>
  <si>
    <t>ТУ 14-4-1075-80</t>
  </si>
  <si>
    <t>ТУ 1211-288-00187211</t>
  </si>
  <si>
    <t>проволока стальная отоженная для цельнометаллической пильчатой ленты</t>
  </si>
  <si>
    <t>проволока стальная для щеток</t>
  </si>
  <si>
    <t>ШГ 55</t>
  </si>
  <si>
    <t>30 - 120</t>
  </si>
  <si>
    <t>30-170</t>
  </si>
  <si>
    <t>30 - 180</t>
  </si>
  <si>
    <t>40 - 180</t>
  </si>
  <si>
    <t>60 - 180</t>
  </si>
  <si>
    <t>ГОСТ 7795-70</t>
  </si>
  <si>
    <t>16 - 49</t>
  </si>
  <si>
    <t>50 - 100</t>
  </si>
  <si>
    <t>40 - 120</t>
  </si>
  <si>
    <t>25 - 49</t>
  </si>
  <si>
    <t>50 - 120</t>
  </si>
  <si>
    <t>ГОСТ 7801-81</t>
  </si>
  <si>
    <t>Шайбы пружинные</t>
  </si>
  <si>
    <t>Заклепки с плоской головкой точности В и С</t>
  </si>
  <si>
    <t>Заклепки пустотелые с полукруглой головкой</t>
  </si>
  <si>
    <t>Проволока винтовая</t>
  </si>
  <si>
    <t>ТУ 14-178-194-2000</t>
  </si>
  <si>
    <t>Проволока стальная углеродистая для изготовления ремизной проволоки</t>
  </si>
  <si>
    <t>ТУ 14-178-394-2001</t>
  </si>
  <si>
    <t>проволока для профильной заготовки пильчатой ленты с закаленным зубом</t>
  </si>
  <si>
    <t>ТУ 14-178-391-2001</t>
  </si>
  <si>
    <t>Проволока стальная канатная</t>
  </si>
  <si>
    <t>ГОСТ 7372 - 79</t>
  </si>
  <si>
    <t>проволока винтовая</t>
  </si>
  <si>
    <t>проволока для изготовления ремизной проволоки</t>
  </si>
  <si>
    <t>ГОСТ 7372-79</t>
  </si>
  <si>
    <t>проволока  стальная канатная</t>
  </si>
  <si>
    <t>6,0 и менее</t>
  </si>
  <si>
    <t>ТУ 14-4-1338-85</t>
  </si>
  <si>
    <t>35,1-49</t>
  </si>
  <si>
    <t>50 и более</t>
  </si>
  <si>
    <t>Гвозди строительные ГОСТ 4028-63, ТУ14-178-326-98</t>
  </si>
  <si>
    <t>1,2х16 - 1,2х25</t>
  </si>
  <si>
    <t>1,4х25 - 1,4х40</t>
  </si>
  <si>
    <t>1,6х25 - 1,6х50</t>
  </si>
  <si>
    <t>1,8х30 - 1,8х50</t>
  </si>
  <si>
    <t>ГОСТ 6727-80</t>
  </si>
  <si>
    <t>проволока н/у для ЖБК</t>
  </si>
  <si>
    <t>Кл. прочности 4.8-5.8</t>
  </si>
  <si>
    <t>Проволока из углеродистой конструкционной стали повышенного качества</t>
  </si>
  <si>
    <t>гвозди отделочные</t>
  </si>
  <si>
    <t>Фосфатное покрытие</t>
  </si>
  <si>
    <t>Нормирование макроструктуры</t>
  </si>
  <si>
    <t>Нормирование микроструктуры</t>
  </si>
  <si>
    <t>Контроль механических свойств</t>
  </si>
  <si>
    <t>Нормирование твердости</t>
  </si>
  <si>
    <t>Селект по углероду и другим элементам</t>
  </si>
  <si>
    <t>Оглавление</t>
  </si>
  <si>
    <r>
      <t>Приплаты</t>
    </r>
    <r>
      <rPr>
        <sz val="10"/>
        <rFont val="Arial Cyr"/>
        <family val="2"/>
        <charset val="204"/>
      </rPr>
      <t xml:space="preserve"> за повышенную точность изготовления:</t>
    </r>
  </si>
  <si>
    <t>руб/тн</t>
  </si>
  <si>
    <t xml:space="preserve">                           НАИМЕНОВАНИЕ ПРОДУКЦИИ</t>
  </si>
  <si>
    <t>лента стальная плющенная для блоков мягкой мебели</t>
  </si>
  <si>
    <t>проволока  для воздушных линий связи</t>
  </si>
  <si>
    <t>проволока ОК  термонеобработанная без покрытия</t>
  </si>
  <si>
    <t>20-49</t>
  </si>
  <si>
    <t xml:space="preserve"> Цена, руб/тн</t>
  </si>
  <si>
    <t xml:space="preserve">Цена,  руб/тн </t>
  </si>
  <si>
    <t>Цена с учетом тары, руб/тн</t>
  </si>
  <si>
    <t>Галтовка гвоздей:</t>
  </si>
  <si>
    <t>Проволока углеродистая пружинная нормальной точности</t>
  </si>
  <si>
    <t>СТО 71915393-ТУ 050-2007</t>
  </si>
  <si>
    <t>Проволока для изготовления игл технических</t>
  </si>
  <si>
    <t>проволока для изготовления игл технических</t>
  </si>
  <si>
    <t>ГОСТ 9389-75, ТУ459</t>
  </si>
  <si>
    <t>35-45</t>
  </si>
  <si>
    <t>8,1-9,9</t>
  </si>
  <si>
    <t>10,0 - 12,0</t>
  </si>
  <si>
    <t>2,0х20 - 2,2х55</t>
  </si>
  <si>
    <t>Снятие фаски с одной стороны</t>
  </si>
  <si>
    <t>Снятие фаски с двух сторон</t>
  </si>
  <si>
    <t>150 руб/тн</t>
  </si>
  <si>
    <t>300 руб/тн</t>
  </si>
  <si>
    <t xml:space="preserve">В случае отсутствия цены на какой либо промежуточный размер, </t>
  </si>
  <si>
    <t>цена принимается равной цене ближайшего меньшего диаметра.</t>
  </si>
  <si>
    <t xml:space="preserve">Проволока стальная  углеродистая для холодной высадки </t>
  </si>
  <si>
    <t>М30</t>
  </si>
  <si>
    <t>ГОСТ  1526-81</t>
  </si>
  <si>
    <t>ГОСТ  9850-72</t>
  </si>
  <si>
    <t>Стальной сердечник оцинкованный</t>
  </si>
  <si>
    <t>ТУ14-178-462-2004</t>
  </si>
  <si>
    <t>Вес</t>
  </si>
  <si>
    <t>ГОСТ 285-69</t>
  </si>
  <si>
    <t>ТУ 14-4-1457-87</t>
  </si>
  <si>
    <t xml:space="preserve"> Цена руб/тн, без тары</t>
  </si>
  <si>
    <t xml:space="preserve">Проволока колючая одноосная рифленая </t>
  </si>
  <si>
    <t>Гвозди специального назначения</t>
  </si>
  <si>
    <t>DIN EN10230 Coils</t>
  </si>
  <si>
    <t>руб/1000 шт</t>
  </si>
  <si>
    <t>диам, мм</t>
  </si>
  <si>
    <t>длина, мм</t>
  </si>
  <si>
    <t>гладкие</t>
  </si>
  <si>
    <t>ТУ 012</t>
  </si>
  <si>
    <t>оцинкованная</t>
  </si>
  <si>
    <t>т/о</t>
  </si>
  <si>
    <t>черный отжиг</t>
  </si>
  <si>
    <t>светлый отжиг</t>
  </si>
  <si>
    <t>т/н</t>
  </si>
  <si>
    <t xml:space="preserve">т/н </t>
  </si>
  <si>
    <t>ГОСТ 1526-81</t>
  </si>
  <si>
    <t>Проволока стальная качественная, оцинк. гр. "С",  для бронирования проводов и кабелей</t>
  </si>
  <si>
    <t>Проволока стальная сварочная Св08А</t>
  </si>
  <si>
    <t>Проволока  стальная оц для сердечников проводов</t>
  </si>
  <si>
    <t>проволока сварочная Св08А</t>
  </si>
  <si>
    <t>проволока стальная оц. для сердечников проводов</t>
  </si>
  <si>
    <t>2,4х40 - 2,8х70</t>
  </si>
  <si>
    <t>3,0х35 - 3,1х90</t>
  </si>
  <si>
    <t>3,4х65 - 3,8х100</t>
  </si>
  <si>
    <t>ГОСТ 22353</t>
  </si>
  <si>
    <t>Шплинты, заклепки</t>
  </si>
  <si>
    <t>страница</t>
  </si>
  <si>
    <t>прокат из конструкционной стали высокой обрабатываемости резанием</t>
  </si>
  <si>
    <t>25 - 90</t>
  </si>
  <si>
    <t>28 - 49</t>
  </si>
  <si>
    <t>50 - 60</t>
  </si>
  <si>
    <t>80 - 140</t>
  </si>
  <si>
    <t>ТУ14-178-432-2002</t>
  </si>
  <si>
    <t>Гайки шестигранные класса точности А и В</t>
  </si>
  <si>
    <t>Приплата за группу оцинкования "ОЖ"   20%</t>
  </si>
  <si>
    <t>Точность прокатки Н9 (вкл. обточку)</t>
  </si>
  <si>
    <t>Точность прокатки Н10</t>
  </si>
  <si>
    <t>Обточка</t>
  </si>
  <si>
    <t>ТУ219-95</t>
  </si>
  <si>
    <t>Проволока  стальная низкоуглеродистая общего назначения</t>
  </si>
  <si>
    <t>проволока  стальная н/у общего назначения</t>
  </si>
  <si>
    <t>4,0х80 - 6,0х200</t>
  </si>
  <si>
    <t>6,5х180 - 8,8х400</t>
  </si>
  <si>
    <t>50 - 240</t>
  </si>
  <si>
    <t>2,0х120</t>
  </si>
  <si>
    <t>50 - 105</t>
  </si>
  <si>
    <t>110 - 240</t>
  </si>
  <si>
    <t>55 - 105</t>
  </si>
  <si>
    <t>60 - 105</t>
  </si>
  <si>
    <t>70 - 105</t>
  </si>
  <si>
    <t>75 - 105</t>
  </si>
  <si>
    <t>50-70</t>
  </si>
  <si>
    <t>12-49</t>
  </si>
  <si>
    <t>14-49</t>
  </si>
  <si>
    <t>20-40</t>
  </si>
  <si>
    <t>40 - 240</t>
  </si>
  <si>
    <t>50-100</t>
  </si>
  <si>
    <t>35 - 200</t>
  </si>
  <si>
    <t>1,6х30</t>
  </si>
  <si>
    <t xml:space="preserve">Базовые цены без НДС на  продукцию </t>
  </si>
  <si>
    <t>110 - 230</t>
  </si>
  <si>
    <t>СТО 71915393-ТУ126-2013</t>
  </si>
  <si>
    <t>проволока н/у термонеобработанная оцинкованная</t>
  </si>
  <si>
    <t>ГОСТ  17305-91</t>
  </si>
  <si>
    <t>2,0х20 - 2,0х60</t>
  </si>
  <si>
    <t>2,2х35 - 2,2х55</t>
  </si>
  <si>
    <t>45-200</t>
  </si>
  <si>
    <t>М27 - М30</t>
  </si>
  <si>
    <t>ГОСТ 7348</t>
  </si>
  <si>
    <t>проволока для армирования ЖБК периодического профиля и гладкая</t>
  </si>
  <si>
    <t>ТУ 14-178-290-95</t>
  </si>
  <si>
    <t>Проволока стальная с полимерным покрытием</t>
  </si>
  <si>
    <t>без цинк. покрытия</t>
  </si>
  <si>
    <t xml:space="preserve">ЧЗ, ФВ </t>
  </si>
  <si>
    <t xml:space="preserve">При заказе на ФВ менее 500 кг применяется приплата 500 руб/тн (к цене </t>
  </si>
  <si>
    <t>за вычетом скидок).</t>
  </si>
  <si>
    <t>проволока колючая с двухпроволочной основой</t>
  </si>
  <si>
    <t>ПРОВОЛОКА НИЗКОУГЛЕРОДИСТАЯ</t>
  </si>
  <si>
    <t>ПРОВОЛОКА ВЫСОКОУГЛЕРОДИСТАЯ</t>
  </si>
  <si>
    <t>2,5х55 - 2,8х65</t>
  </si>
  <si>
    <t>гальваническое оцинкование</t>
  </si>
  <si>
    <t>кл прочности 8</t>
  </si>
  <si>
    <t>кл прочности 10</t>
  </si>
  <si>
    <t>Проволока периодическорго профиля для изготовления сетки</t>
  </si>
  <si>
    <t>СТО 71915393-ТС089-2010</t>
  </si>
  <si>
    <t>обычн бп</t>
  </si>
  <si>
    <t>обычн оц</t>
  </si>
  <si>
    <t>высок бп</t>
  </si>
  <si>
    <t>высок оц</t>
  </si>
  <si>
    <t>диаметр</t>
  </si>
  <si>
    <t>длина</t>
  </si>
  <si>
    <t>М6_1</t>
  </si>
  <si>
    <t>М6_2</t>
  </si>
  <si>
    <t>М8_1</t>
  </si>
  <si>
    <t>М8_2</t>
  </si>
  <si>
    <t>М10_1</t>
  </si>
  <si>
    <t>М10_2</t>
  </si>
  <si>
    <t>М12_1</t>
  </si>
  <si>
    <t>М12_2</t>
  </si>
  <si>
    <t>М16_1</t>
  </si>
  <si>
    <t>М16_2</t>
  </si>
  <si>
    <t>32-35</t>
  </si>
  <si>
    <t>45-80</t>
  </si>
  <si>
    <t>М20_1</t>
  </si>
  <si>
    <t>М20_2</t>
  </si>
  <si>
    <t>М22_1</t>
  </si>
  <si>
    <t>М22_2</t>
  </si>
  <si>
    <t>М24_1</t>
  </si>
  <si>
    <t>М24_2</t>
  </si>
  <si>
    <t>М30_1</t>
  </si>
  <si>
    <t>М30_2</t>
  </si>
  <si>
    <t>М27_1</t>
  </si>
  <si>
    <t>М27_2</t>
  </si>
  <si>
    <t>ГОСТ 3282-74,  ТУ 14-4-1563-89,
СТО 71915393-ТУ130-2013</t>
  </si>
  <si>
    <r>
      <t xml:space="preserve">Проволока н/у термонеобработанная  </t>
    </r>
    <r>
      <rPr>
        <b/>
        <sz val="10"/>
        <rFont val="Arial"/>
        <family val="2"/>
        <charset val="204"/>
      </rPr>
      <t>ТУ 1211-288-00187211-2006</t>
    </r>
  </si>
  <si>
    <r>
      <t xml:space="preserve">Проволока н/у термонеобраб. оцинков.
</t>
    </r>
    <r>
      <rPr>
        <b/>
        <sz val="10"/>
        <rFont val="Arial"/>
        <family val="2"/>
        <charset val="204"/>
      </rPr>
      <t>СТО 71915393-ТУ126-2013</t>
    </r>
  </si>
  <si>
    <r>
      <t xml:space="preserve">Проволока  для ЖБК (ВР-1)
</t>
    </r>
    <r>
      <rPr>
        <b/>
        <sz val="10"/>
        <rFont val="Arial"/>
        <family val="2"/>
        <charset val="204"/>
      </rPr>
      <t>ГОСТ 6727-80, ТС6, ТС14, ТУ5572</t>
    </r>
  </si>
  <si>
    <r>
      <t xml:space="preserve">Прокат арматурный
 </t>
    </r>
    <r>
      <rPr>
        <b/>
        <sz val="10"/>
        <rFont val="Arial"/>
        <family val="2"/>
        <charset val="204"/>
      </rPr>
      <t>ГОСТ Р 52544-2006</t>
    </r>
  </si>
  <si>
    <t xml:space="preserve">      ГОСТ 9389-75, ТУ459, ТУ079, ТУ080, ТУ132</t>
  </si>
  <si>
    <t>с накаткой</t>
  </si>
  <si>
    <t>-</t>
  </si>
  <si>
    <t>размер</t>
  </si>
  <si>
    <t>К25</t>
  </si>
  <si>
    <t>К5</t>
  </si>
  <si>
    <t>МКР</t>
  </si>
  <si>
    <t>2,8_1х</t>
  </si>
  <si>
    <t>2,8_2х</t>
  </si>
  <si>
    <t>2,0х20 (25)</t>
  </si>
  <si>
    <t>3,0х40</t>
  </si>
  <si>
    <t>2,0х40 (45)</t>
  </si>
  <si>
    <t>3,0х70 (80)</t>
  </si>
  <si>
    <t>4,0х50 - 4,0х120</t>
  </si>
  <si>
    <t>ШГ 50</t>
  </si>
  <si>
    <t>10-50</t>
  </si>
  <si>
    <t>кл. прочн. 5, 6, норм. шаг резьбы</t>
  </si>
  <si>
    <t>8 бп</t>
  </si>
  <si>
    <t>8 оц</t>
  </si>
  <si>
    <t>Приплаты, применяемые к ценам на крепёж</t>
  </si>
  <si>
    <t>10 бп</t>
  </si>
  <si>
    <t>10 оц</t>
  </si>
  <si>
    <t>6,0</t>
  </si>
  <si>
    <t>8,0</t>
  </si>
  <si>
    <t>10,0</t>
  </si>
  <si>
    <t>12,0</t>
  </si>
  <si>
    <t>14,0</t>
  </si>
  <si>
    <t>16,0</t>
  </si>
  <si>
    <t>18,0</t>
  </si>
  <si>
    <t>20,0</t>
  </si>
  <si>
    <t>22,0</t>
  </si>
  <si>
    <t>24,0</t>
  </si>
  <si>
    <t>27,0</t>
  </si>
  <si>
    <t>30,0</t>
  </si>
  <si>
    <t>33,0</t>
  </si>
  <si>
    <t>36,0</t>
  </si>
  <si>
    <t>42,0</t>
  </si>
  <si>
    <t xml:space="preserve"> бп</t>
  </si>
  <si>
    <t xml:space="preserve"> оц</t>
  </si>
  <si>
    <t>2,0_1</t>
  </si>
  <si>
    <t>2,0_2</t>
  </si>
  <si>
    <t>2,5_1</t>
  </si>
  <si>
    <t>2,5_2</t>
  </si>
  <si>
    <t>3,2_1</t>
  </si>
  <si>
    <t>3,2_2</t>
  </si>
  <si>
    <t>4,0_1</t>
  </si>
  <si>
    <t>4,0_2</t>
  </si>
  <si>
    <t>5,0</t>
  </si>
  <si>
    <t>6,3</t>
  </si>
  <si>
    <t>18-24</t>
  </si>
  <si>
    <t>18-22</t>
  </si>
  <si>
    <t>18-20</t>
  </si>
  <si>
    <t>цена</t>
  </si>
  <si>
    <t>О</t>
  </si>
  <si>
    <t>Ч</t>
  </si>
  <si>
    <t>Проволока  для воздушных линий связи</t>
  </si>
  <si>
    <t>(2 класс цинкового покрытия)</t>
  </si>
  <si>
    <t>Проволока стальная н/у качественная</t>
  </si>
  <si>
    <t>Проволока колючая с двухпроволочной</t>
  </si>
  <si>
    <r>
      <t xml:space="preserve"> основой, оцинкованная </t>
    </r>
    <r>
      <rPr>
        <b/>
        <sz val="10"/>
        <rFont val="Arial Cyr"/>
        <charset val="204"/>
      </rPr>
      <t>ТУ219-95</t>
    </r>
  </si>
  <si>
    <t xml:space="preserve">Цена, руб/тн </t>
  </si>
  <si>
    <t>Проволока перевязочная для воздушных</t>
  </si>
  <si>
    <t>линий связи (оцинкованная)</t>
  </si>
  <si>
    <t>1кл</t>
  </si>
  <si>
    <t>2кл</t>
  </si>
  <si>
    <t>В случае отсутствия цены на какой либо промежуточный размер, цена</t>
  </si>
  <si>
    <t>принимается равной цене ближайшего меньшего диаметра.</t>
  </si>
  <si>
    <t>Лента стальная плющеная, для блоков</t>
  </si>
  <si>
    <r>
      <t xml:space="preserve">мягкой мебели </t>
    </r>
    <r>
      <rPr>
        <b/>
        <sz val="10"/>
        <rFont val="Arial Cyr"/>
        <charset val="204"/>
      </rPr>
      <t>ТУ 14-4-1338-85</t>
    </r>
  </si>
  <si>
    <t xml:space="preserve">Проволока для профильной заготовки пильчатой ленты с закаленным зубом </t>
  </si>
  <si>
    <t xml:space="preserve">ТУ 14-178-391-2001  </t>
  </si>
  <si>
    <t>ТУ 14-4-933-78  действует</t>
  </si>
  <si>
    <t>приплата 20%</t>
  </si>
  <si>
    <t>ТУ 14-178-462-2004</t>
  </si>
  <si>
    <r>
      <t xml:space="preserve">Проволока стальная для щеток
</t>
    </r>
    <r>
      <rPr>
        <b/>
        <sz val="10"/>
        <rFont val="Arial Cyr"/>
        <charset val="204"/>
      </rPr>
      <t>ТУ 14-4-933-78</t>
    </r>
  </si>
  <si>
    <t>На оцинкованную проволоку по</t>
  </si>
  <si>
    <t>Поволока стальная оцинкованная (гр. "Ж") для проводов и кабелей</t>
  </si>
  <si>
    <t>В случае отсутствия цены на какой-либо промежуточный</t>
  </si>
  <si>
    <t>размер, цена принимается равной цене ближайшего</t>
  </si>
  <si>
    <t>меньшего диаметра.</t>
  </si>
  <si>
    <r>
      <rPr>
        <sz val="10"/>
        <rFont val="Arial"/>
        <family val="2"/>
        <charset val="204"/>
      </rPr>
      <t>•</t>
    </r>
    <r>
      <rPr>
        <sz val="8.5"/>
        <rFont val="Arial Cyr"/>
        <charset val="204"/>
      </rPr>
      <t xml:space="preserve"> </t>
    </r>
    <r>
      <rPr>
        <sz val="10"/>
        <rFont val="Arial Cyr"/>
        <charset val="204"/>
      </rPr>
      <t>За поставку на деревянном барабане:  2000 руб/тн;</t>
    </r>
  </si>
  <si>
    <r>
      <rPr>
        <sz val="10"/>
        <rFont val="Arial"/>
        <family val="2"/>
        <charset val="204"/>
      </rPr>
      <t>•</t>
    </r>
    <r>
      <rPr>
        <sz val="8.5"/>
        <rFont val="Arial Cyr"/>
        <charset val="204"/>
      </rPr>
      <t xml:space="preserve"> </t>
    </r>
    <r>
      <rPr>
        <sz val="10"/>
        <rFont val="Arial Cyr"/>
        <charset val="204"/>
      </rPr>
      <t>Цены на оцинкованную проволоку приведены с учетом</t>
    </r>
  </si>
  <si>
    <t>группы оцинкования "Ж". Для получения цены на другие</t>
  </si>
  <si>
    <t>классы покрытия необходимо к цене оцинкованной</t>
  </si>
  <si>
    <r>
      <rPr>
        <sz val="10"/>
        <rFont val="Arial"/>
        <family val="2"/>
        <charset val="204"/>
      </rPr>
      <t>•</t>
    </r>
    <r>
      <rPr>
        <sz val="8.5"/>
        <rFont val="Arial Cyr"/>
        <family val="2"/>
        <charset val="204"/>
      </rPr>
      <t xml:space="preserve"> </t>
    </r>
    <r>
      <rPr>
        <sz val="10"/>
        <rFont val="Arial Cyr"/>
        <family val="2"/>
        <charset val="204"/>
      </rPr>
      <t>При заказе на Волгоградской площадке менее 500 кг</t>
    </r>
  </si>
  <si>
    <t>применяется приплата 500 руб/тн (к цене с учётом скидок).</t>
  </si>
  <si>
    <t>проволоки применить коэффициент пересчета:</t>
  </si>
  <si>
    <t>ГОСТ 5663-79</t>
  </si>
  <si>
    <t xml:space="preserve"> ГОСТ 17305-91</t>
  </si>
  <si>
    <t>БпТнЧ</t>
  </si>
  <si>
    <t>БпТнО</t>
  </si>
  <si>
    <t>БпТочЧ</t>
  </si>
  <si>
    <t>БпТочО</t>
  </si>
  <si>
    <t>БпТос</t>
  </si>
  <si>
    <t>ОцТн</t>
  </si>
  <si>
    <t>ОцТо</t>
  </si>
  <si>
    <t>Бп</t>
  </si>
  <si>
    <t>Оц</t>
  </si>
  <si>
    <t>БпПНД</t>
  </si>
  <si>
    <t>БпПВХ</t>
  </si>
  <si>
    <t>ОцПНД</t>
  </si>
  <si>
    <t>ОцПВХ</t>
  </si>
  <si>
    <t>значение</t>
  </si>
  <si>
    <t>столбец2</t>
  </si>
  <si>
    <t>столбец3</t>
  </si>
  <si>
    <t>наимен</t>
  </si>
  <si>
    <r>
      <t xml:space="preserve">Проволока для армирования ЖБК </t>
    </r>
    <r>
      <rPr>
        <b/>
        <sz val="10"/>
        <rFont val="Arial"/>
        <family val="2"/>
        <charset val="204"/>
      </rPr>
      <t>ГОСТ 7348-81</t>
    </r>
  </si>
  <si>
    <t>ПО</t>
  </si>
  <si>
    <t>МВ</t>
  </si>
  <si>
    <t>УЗО</t>
  </si>
  <si>
    <t>делёжка</t>
  </si>
  <si>
    <t>0/19</t>
  </si>
  <si>
    <t>0/20,4</t>
  </si>
  <si>
    <t>0/24</t>
  </si>
  <si>
    <t>0/27</t>
  </si>
  <si>
    <t>0/29</t>
  </si>
  <si>
    <t>0/32</t>
  </si>
  <si>
    <t>0/34</t>
  </si>
  <si>
    <t>0/39</t>
  </si>
  <si>
    <t>0/43</t>
  </si>
  <si>
    <t>0/51</t>
  </si>
  <si>
    <t>0/56</t>
  </si>
  <si>
    <t>0/64</t>
  </si>
  <si>
    <t>0/66</t>
  </si>
  <si>
    <t>0/67</t>
  </si>
  <si>
    <t>0/72</t>
  </si>
  <si>
    <t>0/93</t>
  </si>
  <si>
    <t>0/204</t>
  </si>
  <si>
    <t>3,0х60 - 3,0х90</t>
  </si>
  <si>
    <t>мелкий шаг резьбы</t>
  </si>
  <si>
    <t>нестандартная длина резьбы</t>
  </si>
  <si>
    <t>толстый цинк</t>
  </si>
  <si>
    <t>кл прочности 6.8</t>
  </si>
  <si>
    <t>кл прочности 12</t>
  </si>
  <si>
    <t>термодиффуз оцинкование</t>
  </si>
  <si>
    <t>очистка крепежа перед оцинк</t>
  </si>
  <si>
    <t>горячее оцинкование</t>
  </si>
  <si>
    <t>заготовка гайки по ГОСТ5915</t>
  </si>
  <si>
    <t>Ящик №4</t>
  </si>
  <si>
    <t>12 - 45</t>
  </si>
  <si>
    <t>14 - 45</t>
  </si>
  <si>
    <t>50 - 80</t>
  </si>
  <si>
    <t>25- 45</t>
  </si>
  <si>
    <t>50-95</t>
  </si>
  <si>
    <t>Болты с шестигранной уменьшенной головкой и фланцем</t>
  </si>
  <si>
    <t>60 - 130</t>
  </si>
  <si>
    <t>Гайки шестигранные с фланцем класса точности А  (с насечкой и без)</t>
  </si>
  <si>
    <t>ГОСТ Р 50592-93, DIN EN 1661</t>
  </si>
  <si>
    <t>кл. прочн. 6 норм. шаг резьбы</t>
  </si>
  <si>
    <t>кл. прочн. 8</t>
  </si>
  <si>
    <t>кл. прочн. 10</t>
  </si>
  <si>
    <t>ø16-30</t>
  </si>
  <si>
    <t>За оцинкованное покрытие:    10000 руб/тн (к цене за вычетом скидок)</t>
  </si>
  <si>
    <t>КРЕПЁЖ</t>
  </si>
  <si>
    <t>Гайки, шайбы, мостовой крепёж</t>
  </si>
  <si>
    <t>3,4х50 - 3,4х90</t>
  </si>
  <si>
    <t>30 - 140</t>
  </si>
  <si>
    <t>25 - 140</t>
  </si>
  <si>
    <t>40 - 170</t>
  </si>
  <si>
    <t>55 - 120</t>
  </si>
  <si>
    <r>
      <t xml:space="preserve">ГОСТ 5915-70, ГОСТ 4032-2014, 5927 </t>
    </r>
    <r>
      <rPr>
        <sz val="10"/>
        <rFont val="Arial"/>
        <family val="2"/>
        <charset val="204"/>
      </rPr>
      <t>(М20-М30)</t>
    </r>
    <r>
      <rPr>
        <sz val="12"/>
        <rFont val="Arial"/>
        <family val="2"/>
        <charset val="204"/>
      </rPr>
      <t>,</t>
    </r>
    <r>
      <rPr>
        <b/>
        <sz val="12"/>
        <rFont val="Arial"/>
        <family val="2"/>
        <charset val="204"/>
      </rPr>
      <t xml:space="preserve"> DIN970 </t>
    </r>
    <r>
      <rPr>
        <sz val="10"/>
        <rFont val="Arial"/>
        <family val="2"/>
        <charset val="204"/>
      </rPr>
      <t>(М20-М30)</t>
    </r>
  </si>
  <si>
    <t>Проволока для саморезов</t>
  </si>
  <si>
    <t>СТО 71915393-ТС151-2016, СТО 71915393-ТС112-2016, СТО 71915393-ТС128-2014</t>
  </si>
  <si>
    <t>Кл. прочности 8.8</t>
  </si>
  <si>
    <t>Кл. прочности 10.9</t>
  </si>
  <si>
    <t>Приплата за группу оцинков. "2" 20%</t>
  </si>
  <si>
    <t>c 01 октября 2018 г.</t>
  </si>
  <si>
    <t>2Ц</t>
  </si>
  <si>
    <t>СТО 71915393-ТС151-2016</t>
  </si>
  <si>
    <t>проволока для саморезов</t>
  </si>
  <si>
    <t>ООО "Триада Финанс"</t>
  </si>
  <si>
    <t>8(4862)54-27-87</t>
  </si>
  <si>
    <t>E-mail: romcha@bk.ru</t>
  </si>
  <si>
    <t>http:// metiz-metall.ru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</si>
</sst>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4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  <numFmt numFmtId="167" formatCode="0.0"/>
    <numFmt numFmtId="168" formatCode="_-* #,##0.000_р_._-;\-* #,##0.000_р_._-;_-* &quot;-&quot;??_р_._-;_-@_-"/>
    <numFmt numFmtId="169" formatCode="_-* #,##0.00000_р_._-;\-* #,##0.00000_р_._-;_-* &quot;-&quot;??_р_._-;_-@_-"/>
    <numFmt numFmtId="170" formatCode="#,##0.000"/>
    <numFmt numFmtId="171" formatCode="#,##0;\-#,##0;\-"/>
    <numFmt numFmtId="172" formatCode="#,##0.00;\-#,##0.00;\-"/>
    <numFmt numFmtId="173" formatCode="@*."/>
    <numFmt numFmtId="174" formatCode="_)0"/>
    <numFmt numFmtId="175" formatCode="_-* #,##0_ _ ;\-_-* #,##0_ _ ;&quot;-&quot;;_(@_)"/>
    <numFmt numFmtId="176" formatCode="#,##0;#,##0;\-"/>
    <numFmt numFmtId="177" formatCode="#,##0_ ;\-#,##0\ "/>
    <numFmt numFmtId="178" formatCode="0;\-0;;&quot;М6&quot;"/>
    <numFmt numFmtId="179" formatCode="0;\-0;;&quot;М8&quot;"/>
    <numFmt numFmtId="180" formatCode="0;\-0;;&quot;М10&quot;"/>
    <numFmt numFmtId="181" formatCode="0;\-0;;&quot;М12&quot;"/>
    <numFmt numFmtId="182" formatCode="0;\-0;;&quot;М16&quot;"/>
    <numFmt numFmtId="183" formatCode="0;\-0;;&quot;Болт &quot;* &quot;М16&quot;_ "/>
    <numFmt numFmtId="184" formatCode="0;\-0;;&quot;Гайка &quot;* &quot;М16&quot;_ "/>
    <numFmt numFmtId="185" formatCode="@_ "/>
    <numFmt numFmtId="186" formatCode="0;\-0;;&quot;М20&quot;"/>
    <numFmt numFmtId="187" formatCode="0;\-0;;&quot;М22&quot;"/>
    <numFmt numFmtId="188" formatCode="0;\-0;;&quot;М24&quot;"/>
    <numFmt numFmtId="189" formatCode="0;\-0;;&quot;М30&quot;"/>
    <numFmt numFmtId="190" formatCode="0;\-0;;&quot;М27&quot;"/>
    <numFmt numFmtId="191" formatCode="0;\-0;;&quot;с накаткой RS или RT&quot;"/>
    <numFmt numFmtId="192" formatCode="0;\-0;;&quot;с накаткой RS&quot;"/>
    <numFmt numFmtId="193" formatCode="&quot;2,8 и более&quot;"/>
    <numFmt numFmtId="194" formatCode="0;\-0;;&quot;Коробка картонная 25кг&quot;"/>
    <numFmt numFmtId="195" formatCode="0;\-0;;&quot;Коробка картонная 5кг&quot;"/>
    <numFmt numFmtId="196" formatCode="0;\-0;;&quot;Мешок, контейнер 1 тн.&quot;"/>
    <numFmt numFmtId="197" formatCode="0;\-0;;&quot;2,8х20 - 25&quot;"/>
    <numFmt numFmtId="198" formatCode="0;\-0;;&quot;2,8х30 - 2,8х50&quot;"/>
    <numFmt numFmtId="199" formatCode="0;\-0;;&quot;без покрытия&quot;"/>
    <numFmt numFmtId="200" formatCode="0;\-0;;&quot;гальваническое оцинкование&quot;"/>
    <numFmt numFmtId="201" formatCode="0;\-0;;&quot;ГОСТ 22354&quot;"/>
    <numFmt numFmtId="202" formatCode="0;\-0;;&quot;Диаметр&quot;"/>
    <numFmt numFmtId="203" formatCode="0;\-0;;&quot;ГОСТ 397-79&quot;"/>
    <numFmt numFmtId="204" formatCode="0;\-0;;&quot;Шплинты&quot;"/>
    <numFmt numFmtId="205" formatCode="0;\-0;;&quot;ГОСТ 10299-80&quot;"/>
    <numFmt numFmtId="206" formatCode="0;\-0;;&quot;ГОСТ 10300-80&quot;"/>
    <numFmt numFmtId="207" formatCode="0;\-0;;&quot;ТУ 1680-00187211-328-2003&quot;"/>
    <numFmt numFmtId="208" formatCode="0;\-0;;&quot;ГОСТ 10301-80, ТУ327-2003&quot;"/>
    <numFmt numFmtId="209" formatCode="0;\-0;;&quot;Размер&quot;"/>
    <numFmt numFmtId="210" formatCode="0;\-0;;&quot;2,0*12-18&quot;"/>
    <numFmt numFmtId="211" formatCode="0;\-0;;&quot;2,0*20-40&quot;"/>
    <numFmt numFmtId="212" formatCode="0;\-0;;&quot;2,5*25-50&quot;"/>
    <numFmt numFmtId="213" formatCode="0;\-0;;&quot;3,2*28-50&quot;"/>
    <numFmt numFmtId="214" formatCode="0;\-0;;&quot;4,0*20-28&quot;"/>
    <numFmt numFmtId="215" formatCode="0;\-0;;&quot;4,0*32-80&quot;"/>
    <numFmt numFmtId="216" formatCode="&quot;ø&quot;0;\-0;;&quot;ø&quot;@"/>
    <numFmt numFmtId="217" formatCode="0;\-0;;&quot;2,5*12-20&quot;"/>
    <numFmt numFmtId="218" formatCode="0;\-0;;&quot;3,2*16-25&quot;"/>
    <numFmt numFmtId="219" formatCode="0;\-0;;&quot;Череповец&quot;"/>
    <numFmt numFmtId="220" formatCode="0;\-0;;&quot;филиал Орловский&quot;"/>
    <numFmt numFmtId="221" formatCode="0;\-0;;&quot;Череповец, ФО&quot;"/>
    <numFmt numFmtId="222" formatCode="0;\-0;;&quot;Диаметр, мм&quot;"/>
    <numFmt numFmtId="223" formatCode="0;\-0;;&quot;Цена, руб/тн&quot;"/>
    <numFmt numFmtId="224" formatCode="0;\-0;;&quot;Орёл&quot;"/>
    <numFmt numFmtId="225" formatCode="0;\-0;;&quot;ПНД&quot;"/>
    <numFmt numFmtId="226" formatCode="0;\-0;;&quot;ПВХ&quot;"/>
    <numFmt numFmtId="227" formatCode="0;\-0;;&quot;Размер, мм&quot;"/>
    <numFmt numFmtId="228" formatCode="0;\-0;;&quot;светлая&quot;"/>
    <numFmt numFmtId="229" formatCode="0;\-0;;&quot;оцинкованная&quot;"/>
    <numFmt numFmtId="230" formatCode="0;\-0;;&quot;1 КЛ-А,  1КЛ-Б,  1 КЛ-В&quot;"/>
    <numFmt numFmtId="231" formatCode="0;\-0;;&quot;2 КЛ-А,  2КЛ-Б,  2 КЛ-В&quot;"/>
    <numFmt numFmtId="232" formatCode="0;\-0;;&quot;Размер ленты, мм&quot;"/>
    <numFmt numFmtId="233" formatCode="0;\-0;;&quot;ГОСТ 10234-77&quot;"/>
    <numFmt numFmtId="234" formatCode="0;\-0;;&quot;ТУ 14-178-399-2000&quot;"/>
    <numFmt numFmtId="235" formatCode="0;\-0;;&quot;Цена, руб/км&quot;"/>
    <numFmt numFmtId="236" formatCode="0;\-0;;&quot;1 класс&quot;"/>
    <numFmt numFmtId="237" formatCode="0;\-0;;&quot;2 класс&quot;"/>
    <numFmt numFmtId="238" formatCode="0;\-0;;&quot;Без покрытия&quot;"/>
    <numFmt numFmtId="239" formatCode="&quot;2,8 - 3,2&quot;"/>
    <numFmt numFmtId="240" formatCode="&quot;3,5 - 5,0&quot;"/>
    <numFmt numFmtId="241" formatCode="&quot;2,5 - 3,2&quot;"/>
    <numFmt numFmtId="242" formatCode="&quot;3,5- 4,5&quot;"/>
    <numFmt numFmtId="243" formatCode="&quot;2,0 - 2,8&quot;"/>
    <numFmt numFmtId="244" formatCode="&quot;2,9 - 3,2&quot;"/>
    <numFmt numFmtId="245" formatCode="&quot;1,80-2,49&quot;"/>
    <numFmt numFmtId="246" formatCode="&quot;2,50-3,99&quot;"/>
    <numFmt numFmtId="247" formatCode="&quot;4,0 - 5,0&quot;"/>
    <numFmt numFmtId="248" formatCode="&quot;1,5-1,6&quot;"/>
    <numFmt numFmtId="249" formatCode="&quot;2,5-2,8 х 2,0&quot;"/>
    <numFmt numFmtId="250" formatCode="&quot; 2,8 х 2,0&quot;"/>
    <numFmt numFmtId="251" formatCode="&quot;3,0 - 8,0&quot;"/>
    <numFmt numFmtId="252" formatCode="&quot;3,8 - 5,5&quot;"/>
    <numFmt numFmtId="253" formatCode="&quot;1,8-1,95&quot;"/>
    <numFmt numFmtId="254" formatCode="&quot;2,4-2,5&quot;"/>
    <numFmt numFmtId="255" formatCode="&quot;3,6-3,65&quot;"/>
    <numFmt numFmtId="256" formatCode="&quot;3,8-4,5&quot;"/>
    <numFmt numFmtId="257" formatCode="&quot;0,25-0,35&quot;"/>
    <numFmt numFmtId="258" formatCode="&quot;0,36-0,4&quot;"/>
    <numFmt numFmtId="259" formatCode="&quot;0,41-0,5&quot;"/>
    <numFmt numFmtId="260" formatCode="&quot;0,6-0,7&quot;"/>
    <numFmt numFmtId="261" formatCode="&quot;1,5 - 2,19&quot;"/>
    <numFmt numFmtId="262" formatCode="&quot;2,2 - 4&quot;"/>
    <numFmt numFmtId="263" formatCode="&quot;4,2-6,0&quot;"/>
    <numFmt numFmtId="264" formatCode="&quot;2,0 - 2,5&quot;"/>
    <numFmt numFmtId="265" formatCode="&quot;2,2-2,3&quot;"/>
    <numFmt numFmtId="266" formatCode="&quot;2,4-2,45&quot;"/>
    <numFmt numFmtId="267" formatCode="&quot;2,6-2,75&quot;"/>
    <numFmt numFmtId="268" formatCode="&quot;2,8-2,9&quot;"/>
    <numFmt numFmtId="269" formatCode="&quot;3,0-3,1&quot;"/>
    <numFmt numFmtId="270" formatCode="&quot;3,2-3,3&quot;"/>
    <numFmt numFmtId="271" formatCode="&quot;3,4-3,5&quot;"/>
    <numFmt numFmtId="272" formatCode="&quot;3,6-3,75&quot;"/>
    <numFmt numFmtId="273" formatCode="&quot;3,8-3,9&quot;"/>
    <numFmt numFmtId="274" formatCode="&quot;4,0-4,1&quot;"/>
    <numFmt numFmtId="275" formatCode="&quot;4,2-4,5&quot;"/>
    <numFmt numFmtId="276" formatCode="&quot;4,8-5,25&quot;"/>
    <numFmt numFmtId="277" formatCode="&quot;5,3-5,9&quot;"/>
    <numFmt numFmtId="278" formatCode="&quot;2,5х9,0&quot;"/>
    <numFmt numFmtId="279" formatCode="&quot;2,1х10,0&quot;"/>
    <numFmt numFmtId="280" formatCode="General&quot; руб/тн&quot;"/>
    <numFmt numFmtId="281" formatCode="0;\-0;;&quot;Приплаты:&quot;"/>
    <numFmt numFmtId="282" formatCode="0;\-0;;&quot;Приплата, %&quot;"/>
    <numFmt numFmtId="283" formatCode="&quot;0,14-0,4&quot;"/>
    <numFmt numFmtId="284" formatCode="&quot;0,41-0,85&quot;"/>
    <numFmt numFmtId="285" formatCode="&quot;0,9-1,9&quot;"/>
    <numFmt numFmtId="286" formatCode="&quot;свыше 1,9&quot;"/>
    <numFmt numFmtId="287" formatCode="0;\-0;;&quot;Коэф. пересчёта&quot;"/>
    <numFmt numFmtId="288" formatCode="0;\-0;;&quot;Группа оцинк.&quot;"/>
    <numFmt numFmtId="289" formatCode="0;\-0;;&quot;Промежуточный отжиг&quot;"/>
    <numFmt numFmtId="290" formatCode="0;\-0;;&quot;Мокрое волочение, Полированная&quot;"/>
    <numFmt numFmtId="291" formatCode="0;\-0;;&quot;Ультразвуковая обработка&quot;"/>
    <numFmt numFmtId="292" formatCode="0;\-0;;&quot;Делёжка проволоки&quot;"/>
    <numFmt numFmtId="293" formatCode="0;\-0;;&quot;Промежуточный отжиг:&quot;"/>
    <numFmt numFmtId="294" formatCode="0;\-0;;&quot;Мокрое волочение:&quot;"/>
    <numFmt numFmtId="295" formatCode="&quot;6,0 - 10,0&quot;"/>
    <numFmt numFmtId="296" formatCode="&quot;3,2-4,5&quot;"/>
    <numFmt numFmtId="297" formatCode="dd\.mm\.yyyy"/>
    <numFmt numFmtId="298" formatCode="0;\-0;;&quot;за мелкий шаг резьбы болтов и гаек (по ГОСТ 8765, 8676)&quot;"/>
    <numFmt numFmtId="299" formatCode="0;\-0;;&quot;за нестандартную длину резьбы болтов&quot;"/>
    <numFmt numFmtId="300" formatCode="0&quot; руб/тн&quot;"/>
    <numFmt numFmtId="301" formatCode="0;\-0;;&quot;за болты класса прочности 6.8, диаметр от М16 (к цене класса прочности 5.8)&quot;"/>
    <numFmt numFmtId="302" formatCode="0;\-0;;&quot;за болты класса прочности 12.9 и гайки класса прочности 12 (к цене классов прочности 10.9 и 10 соответственно)&quot;"/>
    <numFmt numFmtId="303" formatCode="0;\-0;;&quot;за горячее оцинкование (к цене за вычетом скидок)&quot;"/>
    <numFmt numFmtId="304" formatCode="0;\-0;;&quot;за термодиффузионное оцинкование (к цене за вычетом скидок)&quot;"/>
    <numFmt numFmtId="305" formatCode="0;\-0;;&quot;за очистку крепежа перед горячим и термодиффузионным оцинкованием&quot;"/>
    <numFmt numFmtId="306" formatCode="0;\-0;;&quot;на заготовку гайки по ГОСТ 5915-70 действует скидка&quot;"/>
    <numFmt numFmtId="307" formatCode="0;\-0;;&quot;за упаковку в ящики 50 кг (Я4)&quot;"/>
    <numFmt numFmtId="308" formatCode="0;\-0;;&quot;ГОСТ 52646, ГОСТ 22355&quot;"/>
    <numFmt numFmtId="309" formatCode="0;\-0;;&quot;ГОСТ Р 52645, ГОСТ Р 53664, ГОСТ 22354&quot;"/>
    <numFmt numFmtId="310" formatCode="&quot;6,1 - 9,9&quot;"/>
    <numFmt numFmtId="311" formatCode="&quot;5,0 - 6,0&quot;"/>
    <numFmt numFmtId="312" formatCode="&quot;4,0 - 4,9&quot;"/>
    <numFmt numFmtId="313" formatCode="&quot;2,5 - 3,9&quot;"/>
    <numFmt numFmtId="314" formatCode="&quot;2,0 - 2,4&quot;"/>
    <numFmt numFmtId="315" formatCode="&quot;1,8 - 1,9&quot;"/>
    <numFmt numFmtId="316" formatCode="&quot;1,6 - 1,7&quot;"/>
    <numFmt numFmtId="317" formatCode="&quot;1,2 - 1,3&quot;"/>
    <numFmt numFmtId="318" formatCode="&quot;1,0 - 1,1&quot;"/>
    <numFmt numFmtId="319" formatCode="0;\-0;;&quot;ТУ155-2016&quot;"/>
    <numFmt numFmtId="320" formatCode="0;\-0;;&quot;за толщину цинкового покрытия не менее 12 мкм&quot;"/>
    <numFmt numFmtId="321" formatCode="&quot;2,6 - 2,8&quot;"/>
    <numFmt numFmtId="322" formatCode="&quot;2,9 - 3,0&quot;"/>
    <numFmt numFmtId="323" formatCode="&quot;3,1 - 3,7&quot;"/>
    <numFmt numFmtId="324" formatCode="&quot;3,8 - 4,9&quot;"/>
    <numFmt numFmtId="325" formatCode="&quot;5,0 - 7,1&quot;"/>
    <numFmt numFmtId="326" formatCode="0;\-0;;&quot;Оцинкованная 'Ж'&quot;"/>
    <numFmt numFmtId="327" formatCode="0;\-0;;&quot;За группу оцинкования '2'&quot;"/>
  </numFmts>
  <fonts count="5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sz val="12"/>
      <name val="Arial Cyr"/>
      <family val="2"/>
      <charset val="204"/>
    </font>
    <font>
      <b/>
      <sz val="14"/>
      <name val="Arial Cyr"/>
      <family val="2"/>
      <charset val="204"/>
    </font>
    <font>
      <b/>
      <sz val="22"/>
      <name val="Arial Cyr"/>
      <family val="2"/>
      <charset val="204"/>
    </font>
    <font>
      <sz val="10"/>
      <color indexed="10"/>
      <name val="Arial Cyr"/>
      <charset val="204"/>
    </font>
    <font>
      <b/>
      <sz val="12"/>
      <name val="Arial Cyr"/>
      <family val="2"/>
      <charset val="204"/>
    </font>
    <font>
      <sz val="11"/>
      <name val="Arial"/>
      <family val="2"/>
      <charset val="204"/>
    </font>
    <font>
      <sz val="16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name val="Arial"/>
      <family val="2"/>
    </font>
    <font>
      <b/>
      <sz val="11"/>
      <name val="Arial"/>
      <family val="2"/>
    </font>
    <font>
      <sz val="11"/>
      <name val="Arial Cyr"/>
      <charset val="204"/>
    </font>
    <font>
      <b/>
      <sz val="11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2"/>
      <name val="Arial Cyr"/>
      <charset val="204"/>
    </font>
    <font>
      <b/>
      <sz val="9"/>
      <name val="Arial Cyr"/>
      <charset val="204"/>
    </font>
    <font>
      <sz val="10"/>
      <color indexed="8"/>
      <name val="Arial Cyr"/>
      <family val="2"/>
      <charset val="204"/>
    </font>
    <font>
      <sz val="13"/>
      <name val="Arial Cyr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8.5"/>
      <name val="Arial Cyr"/>
      <charset val="204"/>
    </font>
    <font>
      <sz val="8.5"/>
      <name val="Arial Cyr"/>
      <family val="2"/>
      <charset val="204"/>
    </font>
    <font>
      <sz val="10"/>
      <color indexed="12"/>
      <name val="Arial"/>
      <family val="2"/>
      <charset val="204"/>
    </font>
    <font>
      <sz val="11"/>
      <color theme="0"/>
      <name val="Arial Cyr"/>
      <charset val="204"/>
    </font>
    <font>
      <sz val="11"/>
      <color theme="0"/>
      <name val="Arial"/>
      <family val="2"/>
    </font>
    <font>
      <b/>
      <sz val="11"/>
      <color theme="0"/>
      <name val="Arial Cyr"/>
      <charset val="204"/>
    </font>
    <font>
      <sz val="11"/>
      <color theme="0"/>
      <name val="Arial"/>
      <family val="2"/>
      <charset val="204"/>
    </font>
    <font>
      <sz val="10"/>
      <color theme="0"/>
      <name val="Arial Cyr"/>
      <charset val="204"/>
    </font>
    <font>
      <sz val="12"/>
      <color theme="0"/>
      <name val="Arial Cyr"/>
      <charset val="204"/>
    </font>
    <font>
      <u/>
      <sz val="10"/>
      <color indexed="12"/>
      <name val="Arial"/>
      <family val="2"/>
      <charset val="204"/>
    </font>
    <font>
      <b/>
      <sz val="12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theme="0"/>
      <name val="Arial Cyr"/>
      <family val="2"/>
      <charset val="204"/>
    </font>
    <font>
      <sz val="12"/>
      <color theme="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9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0"/>
      <name val="Arial Cyr"/>
    </font>
    <font>
      <i/>
      <sz val="20"/>
      <name val="Arial Cyr"/>
      <charset val="204"/>
    </font>
    <font>
      <b/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</borders>
  <cellStyleXfs count="1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6" fillId="0" borderId="0" applyNumberFormat="0" applyFont="0" applyFill="0" applyBorder="0" applyAlignment="0" applyProtection="0">
      <alignment vertical="top"/>
    </xf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5" fillId="0" borderId="0"/>
  </cellStyleXfs>
  <cellXfs count="852">
    <xf numFmtId="0" fontId="0" fillId="0" borderId="0" xfId="0"/>
    <xf numFmtId="0" fontId="3" fillId="0" borderId="0" xfId="0" applyFont="1" applyFill="1"/>
    <xf numFmtId="14" fontId="3" fillId="0" borderId="0" xfId="0" applyNumberFormat="1" applyFont="1" applyFill="1" applyAlignment="1">
      <alignment horizontal="right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/>
    <xf numFmtId="0" fontId="4" fillId="0" borderId="0" xfId="0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5" fontId="3" fillId="0" borderId="0" xfId="7" applyNumberFormat="1" applyFont="1" applyFill="1" applyBorder="1" applyAlignment="1">
      <alignment horizontal="center" vertical="center"/>
    </xf>
    <xf numFmtId="165" fontId="3" fillId="0" borderId="0" xfId="7" applyNumberFormat="1" applyFont="1" applyFill="1" applyBorder="1" applyAlignment="1">
      <alignment horizontal="center"/>
    </xf>
    <xf numFmtId="0" fontId="0" fillId="0" borderId="0" xfId="0" applyFill="1"/>
    <xf numFmtId="1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14" fontId="6" fillId="0" borderId="0" xfId="0" applyNumberFormat="1" applyFont="1" applyFill="1" applyBorder="1" applyAlignment="1">
      <alignment horizontal="right" vertical="center"/>
    </xf>
    <xf numFmtId="17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5" fontId="6" fillId="0" borderId="0" xfId="7" applyNumberFormat="1" applyFont="1" applyFill="1" applyBorder="1" applyAlignment="1">
      <alignment horizontal="center" vertical="center"/>
    </xf>
    <xf numFmtId="165" fontId="12" fillId="0" borderId="2" xfId="7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horizontal="left"/>
    </xf>
    <xf numFmtId="14" fontId="0" fillId="0" borderId="0" xfId="0" applyNumberFormat="1" applyFill="1"/>
    <xf numFmtId="9" fontId="12" fillId="0" borderId="0" xfId="0" applyNumberFormat="1" applyFont="1" applyFill="1" applyBorder="1" applyAlignment="1">
      <alignment horizontal="center" vertical="center"/>
    </xf>
    <xf numFmtId="0" fontId="5" fillId="0" borderId="0" xfId="1" applyFill="1" applyAlignment="1" applyProtection="1"/>
    <xf numFmtId="165" fontId="12" fillId="0" borderId="0" xfId="7" applyNumberFormat="1" applyFont="1" applyFill="1" applyBorder="1"/>
    <xf numFmtId="165" fontId="12" fillId="0" borderId="2" xfId="7" applyNumberFormat="1" applyFont="1" applyFill="1" applyBorder="1"/>
    <xf numFmtId="165" fontId="12" fillId="0" borderId="3" xfId="7" applyNumberFormat="1" applyFont="1" applyFill="1" applyBorder="1"/>
    <xf numFmtId="0" fontId="14" fillId="0" borderId="0" xfId="0" applyFont="1" applyFill="1"/>
    <xf numFmtId="2" fontId="14" fillId="0" borderId="0" xfId="0" applyNumberFormat="1" applyFont="1" applyFill="1" applyBorder="1" applyAlignment="1">
      <alignment horizontal="left"/>
    </xf>
    <xf numFmtId="165" fontId="12" fillId="0" borderId="0" xfId="7" applyNumberFormat="1" applyFont="1" applyFill="1" applyAlignment="1">
      <alignment horizontal="center"/>
    </xf>
    <xf numFmtId="165" fontId="12" fillId="0" borderId="0" xfId="7" applyNumberFormat="1" applyFont="1" applyFill="1" applyBorder="1" applyAlignment="1">
      <alignment horizontal="center" vertical="center"/>
    </xf>
    <xf numFmtId="165" fontId="12" fillId="0" borderId="0" xfId="7" applyNumberFormat="1" applyFont="1" applyFill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65" fontId="0" fillId="0" borderId="0" xfId="0" applyNumberFormat="1" applyFill="1"/>
    <xf numFmtId="9" fontId="3" fillId="0" borderId="0" xfId="6" applyFont="1" applyFill="1" applyAlignment="1">
      <alignment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horizontal="right"/>
    </xf>
    <xf numFmtId="0" fontId="19" fillId="0" borderId="0" xfId="0" applyFont="1" applyFill="1"/>
    <xf numFmtId="0" fontId="0" fillId="0" borderId="0" xfId="0" applyFill="1" applyAlignment="1">
      <alignment horizontal="center"/>
    </xf>
    <xf numFmtId="165" fontId="18" fillId="0" borderId="0" xfId="7" applyNumberFormat="1" applyFont="1" applyFill="1" applyBorder="1" applyAlignment="1">
      <alignment horizontal="center"/>
    </xf>
    <xf numFmtId="14" fontId="12" fillId="0" borderId="0" xfId="0" applyNumberFormat="1" applyFont="1" applyFill="1"/>
    <xf numFmtId="164" fontId="12" fillId="0" borderId="0" xfId="7" applyNumberFormat="1" applyFont="1" applyFill="1" applyBorder="1"/>
    <xf numFmtId="169" fontId="6" fillId="0" borderId="0" xfId="7" applyNumberFormat="1" applyFont="1" applyFill="1"/>
    <xf numFmtId="0" fontId="20" fillId="0" borderId="0" xfId="0" applyFont="1" applyFill="1"/>
    <xf numFmtId="0" fontId="0" fillId="0" borderId="0" xfId="0" applyFill="1" applyAlignment="1">
      <alignment horizontal="right"/>
    </xf>
    <xf numFmtId="0" fontId="3" fillId="0" borderId="0" xfId="0" applyFont="1" applyFill="1" applyAlignment="1">
      <alignment vertical="center" wrapText="1"/>
    </xf>
    <xf numFmtId="165" fontId="0" fillId="0" borderId="0" xfId="0" applyNumberFormat="1" applyFill="1" applyAlignment="1">
      <alignment vertical="center"/>
    </xf>
    <xf numFmtId="165" fontId="19" fillId="0" borderId="0" xfId="7" applyNumberFormat="1" applyFont="1" applyFill="1"/>
    <xf numFmtId="0" fontId="0" fillId="0" borderId="0" xfId="0" applyFill="1" applyBorder="1" applyAlignment="1">
      <alignment horizontal="left"/>
    </xf>
    <xf numFmtId="164" fontId="3" fillId="0" borderId="5" xfId="7" applyNumberFormat="1" applyFont="1" applyFill="1" applyBorder="1" applyAlignment="1">
      <alignment horizontal="center"/>
    </xf>
    <xf numFmtId="165" fontId="2" fillId="0" borderId="0" xfId="2" applyNumberFormat="1" applyFill="1" applyBorder="1" applyAlignment="1">
      <alignment vertical="center"/>
    </xf>
    <xf numFmtId="0" fontId="3" fillId="0" borderId="0" xfId="2" applyFont="1" applyFill="1" applyAlignment="1">
      <alignment vertical="center"/>
    </xf>
    <xf numFmtId="0" fontId="3" fillId="0" borderId="0" xfId="2" applyFont="1" applyFill="1" applyAlignment="1">
      <alignment vertical="center" wrapText="1"/>
    </xf>
    <xf numFmtId="0" fontId="0" fillId="0" borderId="0" xfId="0" applyFill="1" applyBorder="1" applyAlignment="1">
      <alignment vertical="center"/>
    </xf>
    <xf numFmtId="164" fontId="12" fillId="0" borderId="5" xfId="7" applyNumberFormat="1" applyFont="1" applyFill="1" applyBorder="1"/>
    <xf numFmtId="0" fontId="6" fillId="0" borderId="0" xfId="0" applyFont="1" applyFill="1" applyBorder="1"/>
    <xf numFmtId="3" fontId="12" fillId="0" borderId="0" xfId="0" applyNumberFormat="1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/>
    </xf>
    <xf numFmtId="168" fontId="12" fillId="0" borderId="0" xfId="7" applyNumberFormat="1" applyFont="1" applyFill="1" applyBorder="1"/>
    <xf numFmtId="166" fontId="12" fillId="0" borderId="0" xfId="7" applyNumberFormat="1" applyFont="1" applyFill="1" applyBorder="1"/>
    <xf numFmtId="3" fontId="0" fillId="0" borderId="0" xfId="0" applyNumberFormat="1" applyFill="1" applyAlignment="1">
      <alignment vertical="center"/>
    </xf>
    <xf numFmtId="9" fontId="3" fillId="0" borderId="0" xfId="6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vertical="center"/>
    </xf>
    <xf numFmtId="2" fontId="0" fillId="0" borderId="0" xfId="0" applyNumberFormat="1" applyFill="1"/>
    <xf numFmtId="165" fontId="12" fillId="0" borderId="3" xfId="7" applyNumberFormat="1" applyFont="1" applyFill="1" applyBorder="1" applyAlignment="1">
      <alignment horizontal="center"/>
    </xf>
    <xf numFmtId="3" fontId="12" fillId="0" borderId="0" xfId="7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vertical="center" wrapText="1"/>
    </xf>
    <xf numFmtId="0" fontId="2" fillId="0" borderId="0" xfId="4" applyFill="1"/>
    <xf numFmtId="0" fontId="14" fillId="0" borderId="0" xfId="4" applyFont="1" applyFill="1"/>
    <xf numFmtId="0" fontId="2" fillId="0" borderId="0" xfId="4" applyFont="1" applyFill="1"/>
    <xf numFmtId="9" fontId="2" fillId="0" borderId="0" xfId="6" applyFill="1"/>
    <xf numFmtId="1" fontId="2" fillId="0" borderId="0" xfId="4" applyNumberFormat="1" applyFill="1"/>
    <xf numFmtId="0" fontId="2" fillId="0" borderId="0" xfId="6" applyNumberFormat="1" applyFill="1"/>
    <xf numFmtId="3" fontId="6" fillId="0" borderId="0" xfId="0" applyNumberFormat="1" applyFont="1" applyFill="1" applyBorder="1" applyAlignment="1">
      <alignment horizontal="center" vertical="center"/>
    </xf>
    <xf numFmtId="2" fontId="3" fillId="0" borderId="0" xfId="2" applyNumberFormat="1" applyFont="1" applyFill="1" applyBorder="1" applyAlignment="1">
      <alignment horizontal="center" vertical="center"/>
    </xf>
    <xf numFmtId="3" fontId="3" fillId="0" borderId="0" xfId="2" applyNumberFormat="1" applyFont="1" applyFill="1" applyBorder="1" applyAlignment="1">
      <alignment horizontal="center" vertical="center" wrapText="1" shrinkToFit="1"/>
    </xf>
    <xf numFmtId="2" fontId="3" fillId="0" borderId="0" xfId="2" applyNumberFormat="1" applyFont="1" applyFill="1" applyBorder="1" applyAlignment="1">
      <alignment horizontal="center"/>
    </xf>
    <xf numFmtId="3" fontId="3" fillId="0" borderId="0" xfId="2" applyNumberFormat="1" applyFont="1" applyFill="1" applyBorder="1" applyAlignment="1">
      <alignment vertical="center"/>
    </xf>
    <xf numFmtId="3" fontId="3" fillId="0" borderId="0" xfId="8" applyNumberFormat="1" applyFont="1" applyFill="1" applyBorder="1" applyAlignment="1">
      <alignment horizontal="center"/>
    </xf>
    <xf numFmtId="165" fontId="12" fillId="0" borderId="6" xfId="7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165" fontId="12" fillId="0" borderId="0" xfId="7" applyNumberFormat="1" applyFont="1" applyFill="1" applyBorder="1" applyAlignment="1">
      <alignment horizontal="left"/>
    </xf>
    <xf numFmtId="3" fontId="6" fillId="0" borderId="0" xfId="5" applyNumberFormat="1" applyFont="1" applyFill="1" applyBorder="1" applyAlignment="1">
      <alignment horizontal="center" vertical="center"/>
    </xf>
    <xf numFmtId="175" fontId="0" fillId="0" borderId="0" xfId="0" applyNumberFormat="1" applyFill="1"/>
    <xf numFmtId="9" fontId="0" fillId="0" borderId="0" xfId="0" applyNumberFormat="1" applyFill="1" applyBorder="1" applyAlignment="1">
      <alignment horizontal="center"/>
    </xf>
    <xf numFmtId="0" fontId="19" fillId="0" borderId="0" xfId="7" applyNumberFormat="1" applyFont="1" applyFill="1"/>
    <xf numFmtId="2" fontId="6" fillId="0" borderId="1" xfId="3" applyNumberFormat="1" applyFont="1" applyFill="1" applyBorder="1" applyAlignment="1">
      <alignment horizontal="center" vertical="center"/>
    </xf>
    <xf numFmtId="1" fontId="15" fillId="0" borderId="1" xfId="3" applyNumberFormat="1" applyFont="1" applyFill="1" applyBorder="1" applyAlignment="1">
      <alignment horizontal="center"/>
    </xf>
    <xf numFmtId="164" fontId="2" fillId="0" borderId="1" xfId="9" applyNumberFormat="1" applyFill="1" applyBorder="1"/>
    <xf numFmtId="1" fontId="6" fillId="0" borderId="1" xfId="3" applyNumberFormat="1" applyFont="1" applyFill="1" applyBorder="1" applyAlignment="1">
      <alignment horizontal="center"/>
    </xf>
    <xf numFmtId="0" fontId="15" fillId="0" borderId="1" xfId="4" applyNumberFormat="1" applyFont="1" applyFill="1" applyBorder="1" applyAlignment="1">
      <alignment horizontal="center"/>
    </xf>
    <xf numFmtId="0" fontId="2" fillId="0" borderId="1" xfId="4" applyFill="1" applyBorder="1" applyAlignment="1">
      <alignment horizontal="center"/>
    </xf>
    <xf numFmtId="2" fontId="6" fillId="0" borderId="0" xfId="3" applyNumberFormat="1" applyFont="1" applyFill="1" applyBorder="1" applyAlignment="1">
      <alignment horizontal="center"/>
    </xf>
    <xf numFmtId="1" fontId="6" fillId="0" borderId="0" xfId="3" applyNumberFormat="1" applyFont="1" applyFill="1" applyBorder="1" applyAlignment="1">
      <alignment horizontal="center"/>
    </xf>
    <xf numFmtId="164" fontId="2" fillId="0" borderId="0" xfId="9" applyNumberFormat="1" applyFill="1" applyBorder="1"/>
    <xf numFmtId="0" fontId="15" fillId="0" borderId="0" xfId="4" applyNumberFormat="1" applyFont="1" applyFill="1" applyBorder="1"/>
    <xf numFmtId="0" fontId="15" fillId="0" borderId="0" xfId="4" applyNumberFormat="1" applyFont="1" applyFill="1" applyBorder="1" applyAlignment="1">
      <alignment horizontal="center"/>
    </xf>
    <xf numFmtId="4" fontId="12" fillId="0" borderId="0" xfId="7" applyNumberFormat="1" applyFont="1" applyFill="1" applyBorder="1" applyAlignment="1">
      <alignment horizontal="center"/>
    </xf>
    <xf numFmtId="0" fontId="0" fillId="0" borderId="0" xfId="0" applyFont="1" applyFill="1"/>
    <xf numFmtId="165" fontId="2" fillId="0" borderId="0" xfId="4" applyNumberFormat="1" applyFill="1"/>
    <xf numFmtId="168" fontId="0" fillId="0" borderId="0" xfId="0" applyNumberFormat="1" applyFill="1"/>
    <xf numFmtId="165" fontId="12" fillId="0" borderId="0" xfId="7" applyNumberFormat="1" applyFont="1" applyFill="1" applyBorder="1" applyAlignment="1">
      <alignment horizontal="right"/>
    </xf>
    <xf numFmtId="165" fontId="3" fillId="0" borderId="16" xfId="7" applyNumberFormat="1" applyFont="1" applyFill="1" applyBorder="1" applyAlignment="1">
      <alignment horizontal="center" vertical="center"/>
    </xf>
    <xf numFmtId="170" fontId="0" fillId="0" borderId="16" xfId="0" applyNumberFormat="1" applyFill="1" applyBorder="1" applyAlignment="1">
      <alignment horizontal="center"/>
    </xf>
    <xf numFmtId="0" fontId="3" fillId="0" borderId="16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left" vertical="justify" wrapText="1"/>
    </xf>
    <xf numFmtId="3" fontId="6" fillId="0" borderId="16" xfId="7" applyNumberFormat="1" applyFont="1" applyFill="1" applyBorder="1" applyAlignment="1">
      <alignment horizontal="center" vertical="center"/>
    </xf>
    <xf numFmtId="0" fontId="6" fillId="0" borderId="16" xfId="0" applyFont="1" applyFill="1" applyBorder="1"/>
    <xf numFmtId="9" fontId="21" fillId="0" borderId="16" xfId="0" applyNumberFormat="1" applyFont="1" applyFill="1" applyBorder="1" applyAlignment="1">
      <alignment horizontal="center" vertical="center"/>
    </xf>
    <xf numFmtId="0" fontId="2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right"/>
    </xf>
    <xf numFmtId="17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2" fillId="0" borderId="1" xfId="4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/>
    </xf>
    <xf numFmtId="170" fontId="0" fillId="0" borderId="0" xfId="0" applyNumberFormat="1" applyFill="1"/>
    <xf numFmtId="164" fontId="0" fillId="0" borderId="0" xfId="0" applyNumberFormat="1" applyFill="1"/>
    <xf numFmtId="0" fontId="0" fillId="0" borderId="0" xfId="0" applyFill="1" applyAlignment="1">
      <alignment horizontal="left" wrapText="1"/>
    </xf>
    <xf numFmtId="9" fontId="0" fillId="0" borderId="0" xfId="0" applyNumberFormat="1" applyFill="1"/>
    <xf numFmtId="165" fontId="6" fillId="0" borderId="0" xfId="0" applyNumberFormat="1" applyFont="1" applyFill="1" applyAlignment="1">
      <alignment vertical="center"/>
    </xf>
    <xf numFmtId="165" fontId="12" fillId="0" borderId="0" xfId="7" applyNumberFormat="1" applyFont="1" applyFill="1" applyBorder="1" applyAlignment="1">
      <alignment horizontal="center"/>
    </xf>
    <xf numFmtId="0" fontId="2" fillId="0" borderId="0" xfId="4" applyNumberFormat="1" applyFill="1"/>
    <xf numFmtId="0" fontId="2" fillId="0" borderId="28" xfId="4" applyFont="1" applyFill="1" applyBorder="1" applyAlignment="1">
      <alignment horizontal="center"/>
    </xf>
    <xf numFmtId="0" fontId="4" fillId="0" borderId="16" xfId="2" applyFont="1" applyFill="1" applyBorder="1" applyAlignment="1">
      <alignment horizontal="center" vertical="center" wrapText="1"/>
    </xf>
    <xf numFmtId="165" fontId="12" fillId="0" borderId="0" xfId="11" applyNumberFormat="1" applyFont="1" applyFill="1" applyBorder="1"/>
    <xf numFmtId="0" fontId="12" fillId="0" borderId="0" xfId="12" applyFont="1" applyFill="1" applyAlignment="1">
      <alignment horizontal="right"/>
    </xf>
    <xf numFmtId="0" fontId="19" fillId="0" borderId="0" xfId="12" applyFont="1" applyFill="1"/>
    <xf numFmtId="49" fontId="12" fillId="0" borderId="16" xfId="11" applyNumberFormat="1" applyFont="1" applyFill="1" applyBorder="1" applyAlignment="1">
      <alignment horizontal="center"/>
    </xf>
    <xf numFmtId="49" fontId="12" fillId="0" borderId="16" xfId="12" applyNumberFormat="1" applyFont="1" applyFill="1" applyBorder="1" applyAlignment="1">
      <alignment horizontal="center"/>
    </xf>
    <xf numFmtId="0" fontId="12" fillId="0" borderId="16" xfId="12" applyFont="1" applyFill="1" applyBorder="1" applyAlignment="1">
      <alignment horizontal="center"/>
    </xf>
    <xf numFmtId="165" fontId="12" fillId="0" borderId="16" xfId="11" applyNumberFormat="1" applyFont="1" applyFill="1" applyBorder="1" applyAlignment="1">
      <alignment horizontal="center"/>
    </xf>
    <xf numFmtId="0" fontId="19" fillId="0" borderId="0" xfId="12" applyFont="1" applyFill="1" applyBorder="1"/>
    <xf numFmtId="14" fontId="12" fillId="0" borderId="0" xfId="12" applyNumberFormat="1" applyFont="1" applyFill="1" applyAlignment="1">
      <alignment horizontal="right"/>
    </xf>
    <xf numFmtId="165" fontId="12" fillId="0" borderId="0" xfId="11" applyNumberFormat="1" applyFont="1" applyFill="1" applyBorder="1" applyAlignment="1">
      <alignment horizontal="center" vertical="center"/>
    </xf>
    <xf numFmtId="49" fontId="12" fillId="0" borderId="0" xfId="11" applyNumberFormat="1" applyFont="1" applyFill="1" applyBorder="1" applyAlignment="1">
      <alignment horizontal="center"/>
    </xf>
    <xf numFmtId="165" fontId="12" fillId="0" borderId="0" xfId="11" applyNumberFormat="1" applyFont="1" applyFill="1" applyBorder="1" applyAlignment="1">
      <alignment horizontal="center" vertical="top" wrapText="1"/>
    </xf>
    <xf numFmtId="165" fontId="12" fillId="0" borderId="0" xfId="11" applyNumberFormat="1" applyFont="1" applyFill="1"/>
    <xf numFmtId="165" fontId="12" fillId="0" borderId="0" xfId="11" applyNumberFormat="1" applyFont="1" applyFill="1" applyAlignment="1">
      <alignment horizontal="center"/>
    </xf>
    <xf numFmtId="0" fontId="2" fillId="0" borderId="0" xfId="12" applyFill="1" applyBorder="1"/>
    <xf numFmtId="0" fontId="11" fillId="0" borderId="0" xfId="4" applyFont="1" applyFill="1" applyBorder="1" applyAlignment="1">
      <alignment horizontal="center" vertical="center"/>
    </xf>
    <xf numFmtId="165" fontId="12" fillId="0" borderId="16" xfId="7" applyNumberFormat="1" applyFont="1" applyFill="1" applyBorder="1" applyAlignment="1">
      <alignment horizontal="center" vertical="center"/>
    </xf>
    <xf numFmtId="165" fontId="17" fillId="0" borderId="16" xfId="11" applyNumberFormat="1" applyFont="1" applyFill="1" applyBorder="1" applyAlignment="1">
      <alignment horizontal="center" vertical="center" wrapText="1"/>
    </xf>
    <xf numFmtId="0" fontId="33" fillId="0" borderId="0" xfId="1" applyFont="1" applyFill="1" applyBorder="1" applyAlignment="1" applyProtection="1">
      <alignment vertical="center"/>
    </xf>
    <xf numFmtId="173" fontId="6" fillId="0" borderId="0" xfId="0" applyNumberFormat="1" applyFont="1" applyFill="1" applyBorder="1" applyAlignment="1">
      <alignment vertical="center" wrapText="1"/>
    </xf>
    <xf numFmtId="174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Continuous" vertical="center"/>
    </xf>
    <xf numFmtId="0" fontId="22" fillId="0" borderId="0" xfId="0" applyFont="1" applyFill="1" applyBorder="1" applyAlignment="1">
      <alignment horizontal="centerContinuous" vertical="center" wrapText="1"/>
    </xf>
    <xf numFmtId="0" fontId="22" fillId="0" borderId="0" xfId="0" applyFont="1" applyFill="1" applyBorder="1" applyAlignment="1">
      <alignment horizontal="centerContinuous"/>
    </xf>
    <xf numFmtId="171" fontId="12" fillId="0" borderId="0" xfId="0" applyNumberFormat="1" applyFont="1" applyFill="1" applyBorder="1" applyAlignment="1">
      <alignment horizontal="centerContinuous" vertical="center"/>
    </xf>
    <xf numFmtId="0" fontId="22" fillId="0" borderId="0" xfId="0" applyFont="1" applyFill="1" applyBorder="1" applyAlignment="1">
      <alignment horizontal="centerContinuous" wrapText="1"/>
    </xf>
    <xf numFmtId="0" fontId="33" fillId="0" borderId="0" xfId="1" applyFont="1" applyFill="1" applyBorder="1" applyAlignment="1" applyProtection="1">
      <alignment horizontal="left" vertical="center" indent="1"/>
    </xf>
    <xf numFmtId="0" fontId="33" fillId="0" borderId="0" xfId="1" applyFont="1" applyAlignment="1" applyProtection="1">
      <alignment horizontal="left" indent="1"/>
    </xf>
    <xf numFmtId="0" fontId="33" fillId="0" borderId="0" xfId="1" applyFont="1" applyFill="1" applyBorder="1" applyAlignment="1" applyProtection="1">
      <alignment horizontal="left" vertical="top" wrapText="1" indent="1"/>
    </xf>
    <xf numFmtId="0" fontId="24" fillId="0" borderId="16" xfId="12" applyFont="1" applyFill="1" applyBorder="1" applyAlignment="1">
      <alignment horizontal="center" vertical="center" wrapText="1"/>
    </xf>
    <xf numFmtId="165" fontId="17" fillId="0" borderId="19" xfId="11" applyNumberFormat="1" applyFont="1" applyFill="1" applyBorder="1" applyAlignment="1">
      <alignment horizontal="center" vertical="center" wrapText="1"/>
    </xf>
    <xf numFmtId="165" fontId="17" fillId="0" borderId="18" xfId="11" applyNumberFormat="1" applyFont="1" applyFill="1" applyBorder="1" applyAlignment="1">
      <alignment horizontal="center" vertical="center" wrapText="1"/>
    </xf>
    <xf numFmtId="0" fontId="19" fillId="0" borderId="16" xfId="12" applyFont="1" applyFill="1" applyBorder="1" applyAlignment="1">
      <alignment vertical="center"/>
    </xf>
    <xf numFmtId="0" fontId="19" fillId="0" borderId="16" xfId="12" applyFont="1" applyFill="1" applyBorder="1" applyAlignment="1">
      <alignment horizontal="center" vertical="center" wrapText="1"/>
    </xf>
    <xf numFmtId="0" fontId="34" fillId="0" borderId="16" xfId="12" applyFont="1" applyFill="1" applyBorder="1" applyAlignment="1">
      <alignment horizontal="center" vertical="center" wrapText="1"/>
    </xf>
    <xf numFmtId="165" fontId="35" fillId="0" borderId="26" xfId="11" applyNumberFormat="1" applyFont="1" applyFill="1" applyBorder="1" applyAlignment="1">
      <alignment horizontal="center" vertical="center" wrapText="1"/>
    </xf>
    <xf numFmtId="165" fontId="35" fillId="0" borderId="24" xfId="11" applyNumberFormat="1" applyFont="1" applyFill="1" applyBorder="1" applyAlignment="1">
      <alignment horizontal="center" vertical="center" wrapText="1"/>
    </xf>
    <xf numFmtId="165" fontId="35" fillId="0" borderId="17" xfId="11" applyNumberFormat="1" applyFont="1" applyFill="1" applyBorder="1" applyAlignment="1">
      <alignment horizontal="left"/>
    </xf>
    <xf numFmtId="0" fontId="36" fillId="0" borderId="18" xfId="12" applyFont="1" applyFill="1" applyBorder="1" applyAlignment="1">
      <alignment horizontal="center" wrapText="1"/>
    </xf>
    <xf numFmtId="0" fontId="34" fillId="0" borderId="25" xfId="12" applyFont="1" applyFill="1" applyBorder="1" applyAlignment="1">
      <alignment horizontal="center" vertical="center" wrapText="1"/>
    </xf>
    <xf numFmtId="0" fontId="34" fillId="0" borderId="24" xfId="12" applyFont="1" applyFill="1" applyBorder="1" applyAlignment="1">
      <alignment horizontal="center" vertical="center" wrapText="1"/>
    </xf>
    <xf numFmtId="165" fontId="12" fillId="0" borderId="23" xfId="11" applyNumberFormat="1" applyFont="1" applyFill="1" applyBorder="1" applyAlignment="1">
      <alignment horizontal="center" vertical="center"/>
    </xf>
    <xf numFmtId="0" fontId="12" fillId="0" borderId="23" xfId="12" applyFont="1" applyFill="1" applyBorder="1" applyAlignment="1">
      <alignment horizontal="center" vertical="center"/>
    </xf>
    <xf numFmtId="165" fontId="12" fillId="0" borderId="23" xfId="11" applyNumberFormat="1" applyFont="1" applyFill="1" applyBorder="1" applyAlignment="1">
      <alignment horizontal="center"/>
    </xf>
    <xf numFmtId="165" fontId="12" fillId="0" borderId="18" xfId="11" applyNumberFormat="1" applyFont="1" applyFill="1" applyBorder="1" applyAlignment="1">
      <alignment horizontal="center"/>
    </xf>
    <xf numFmtId="165" fontId="12" fillId="0" borderId="21" xfId="11" applyNumberFormat="1" applyFont="1" applyFill="1" applyBorder="1" applyAlignment="1">
      <alignment horizontal="center"/>
    </xf>
    <xf numFmtId="165" fontId="12" fillId="0" borderId="21" xfId="11" applyNumberFormat="1" applyFont="1" applyFill="1" applyBorder="1"/>
    <xf numFmtId="165" fontId="12" fillId="0" borderId="17" xfId="11" applyNumberFormat="1" applyFont="1" applyFill="1" applyBorder="1"/>
    <xf numFmtId="0" fontId="34" fillId="0" borderId="17" xfId="12" applyFont="1" applyFill="1" applyBorder="1" applyAlignment="1">
      <alignment vertical="center"/>
    </xf>
    <xf numFmtId="165" fontId="17" fillId="0" borderId="19" xfId="11" applyNumberFormat="1" applyFont="1" applyFill="1" applyBorder="1" applyAlignment="1">
      <alignment horizontal="center" vertical="top" wrapText="1"/>
    </xf>
    <xf numFmtId="165" fontId="17" fillId="0" borderId="18" xfId="11" applyNumberFormat="1" applyFont="1" applyFill="1" applyBorder="1" applyAlignment="1">
      <alignment horizontal="center" vertical="top" wrapText="1"/>
    </xf>
    <xf numFmtId="165" fontId="35" fillId="0" borderId="24" xfId="11" applyNumberFormat="1" applyFont="1" applyFill="1" applyBorder="1" applyAlignment="1">
      <alignment horizontal="center" vertical="top" wrapText="1"/>
    </xf>
    <xf numFmtId="0" fontId="34" fillId="0" borderId="17" xfId="12" applyFont="1" applyFill="1" applyBorder="1" applyAlignment="1">
      <alignment wrapText="1"/>
    </xf>
    <xf numFmtId="0" fontId="24" fillId="0" borderId="18" xfId="12" applyFont="1" applyFill="1" applyBorder="1" applyAlignment="1">
      <alignment horizontal="center" vertical="center" wrapText="1"/>
    </xf>
    <xf numFmtId="165" fontId="17" fillId="0" borderId="17" xfId="11" applyNumberFormat="1" applyFont="1" applyFill="1" applyBorder="1" applyAlignment="1">
      <alignment vertical="top"/>
    </xf>
    <xf numFmtId="165" fontId="35" fillId="0" borderId="26" xfId="11" applyNumberFormat="1" applyFont="1" applyFill="1" applyBorder="1" applyAlignment="1">
      <alignment horizontal="center" vertical="top" wrapText="1"/>
    </xf>
    <xf numFmtId="165" fontId="12" fillId="0" borderId="18" xfId="11" applyNumberFormat="1" applyFont="1" applyFill="1" applyBorder="1" applyAlignment="1">
      <alignment horizontal="center" vertical="center"/>
    </xf>
    <xf numFmtId="178" fontId="12" fillId="0" borderId="18" xfId="11" applyNumberFormat="1" applyFont="1" applyFill="1" applyBorder="1" applyAlignment="1">
      <alignment horizontal="center" vertical="center"/>
    </xf>
    <xf numFmtId="165" fontId="37" fillId="0" borderId="25" xfId="11" applyNumberFormat="1" applyFont="1" applyFill="1" applyBorder="1" applyAlignment="1">
      <alignment horizontal="center" vertical="center"/>
    </xf>
    <xf numFmtId="179" fontId="12" fillId="0" borderId="18" xfId="11" applyNumberFormat="1" applyFont="1" applyFill="1" applyBorder="1" applyAlignment="1">
      <alignment horizontal="center" vertical="center"/>
    </xf>
    <xf numFmtId="180" fontId="12" fillId="0" borderId="18" xfId="11" applyNumberFormat="1" applyFont="1" applyFill="1" applyBorder="1" applyAlignment="1">
      <alignment horizontal="center" vertical="center"/>
    </xf>
    <xf numFmtId="181" fontId="12" fillId="0" borderId="18" xfId="11" applyNumberFormat="1" applyFont="1" applyFill="1" applyBorder="1" applyAlignment="1">
      <alignment horizontal="center" vertical="center"/>
    </xf>
    <xf numFmtId="165" fontId="37" fillId="0" borderId="25" xfId="11" applyNumberFormat="1" applyFont="1" applyFill="1" applyBorder="1" applyAlignment="1">
      <alignment horizontal="center"/>
    </xf>
    <xf numFmtId="182" fontId="12" fillId="0" borderId="18" xfId="11" applyNumberFormat="1" applyFont="1" applyFill="1" applyBorder="1" applyAlignment="1">
      <alignment horizontal="center" vertical="center"/>
    </xf>
    <xf numFmtId="0" fontId="38" fillId="0" borderId="0" xfId="12" applyFont="1" applyFill="1" applyBorder="1" applyAlignment="1">
      <alignment horizontal="center" vertical="center"/>
    </xf>
    <xf numFmtId="0" fontId="34" fillId="0" borderId="23" xfId="12" applyFont="1" applyFill="1" applyBorder="1" applyAlignment="1">
      <alignment horizontal="center" vertical="center" wrapText="1"/>
    </xf>
    <xf numFmtId="49" fontId="12" fillId="0" borderId="21" xfId="11" applyNumberFormat="1" applyFont="1" applyFill="1" applyBorder="1" applyAlignment="1">
      <alignment horizontal="center"/>
    </xf>
    <xf numFmtId="165" fontId="12" fillId="0" borderId="21" xfId="11" applyNumberFormat="1" applyFont="1" applyFill="1" applyBorder="1" applyAlignment="1">
      <alignment horizontal="center" vertical="center"/>
    </xf>
    <xf numFmtId="165" fontId="12" fillId="0" borderId="16" xfId="11" applyNumberFormat="1" applyFont="1" applyFill="1" applyBorder="1" applyAlignment="1">
      <alignment vertical="top"/>
    </xf>
    <xf numFmtId="0" fontId="19" fillId="0" borderId="17" xfId="12" applyFont="1" applyFill="1" applyBorder="1" applyAlignment="1">
      <alignment vertical="center"/>
    </xf>
    <xf numFmtId="165" fontId="12" fillId="0" borderId="17" xfId="11" applyNumberFormat="1" applyFont="1" applyFill="1" applyBorder="1" applyAlignment="1">
      <alignment vertical="top"/>
    </xf>
    <xf numFmtId="165" fontId="12" fillId="0" borderId="19" xfId="11" applyNumberFormat="1" applyFont="1" applyFill="1" applyBorder="1" applyAlignment="1">
      <alignment horizontal="center" vertical="top" wrapText="1"/>
    </xf>
    <xf numFmtId="165" fontId="12" fillId="0" borderId="18" xfId="11" applyNumberFormat="1" applyFont="1" applyFill="1" applyBorder="1" applyAlignment="1">
      <alignment horizontal="center" vertical="top" wrapText="1"/>
    </xf>
    <xf numFmtId="165" fontId="37" fillId="0" borderId="26" xfId="11" applyNumberFormat="1" applyFont="1" applyFill="1" applyBorder="1" applyAlignment="1">
      <alignment horizontal="center" vertical="top" wrapText="1"/>
    </xf>
    <xf numFmtId="165" fontId="37" fillId="0" borderId="24" xfId="11" applyNumberFormat="1" applyFont="1" applyFill="1" applyBorder="1" applyAlignment="1">
      <alignment horizontal="center" vertical="top" wrapText="1"/>
    </xf>
    <xf numFmtId="165" fontId="37" fillId="0" borderId="16" xfId="11" applyNumberFormat="1" applyFont="1" applyFill="1" applyBorder="1" applyAlignment="1">
      <alignment horizontal="center" vertical="top" wrapText="1"/>
    </xf>
    <xf numFmtId="165" fontId="37" fillId="0" borderId="0" xfId="11" applyNumberFormat="1" applyFont="1" applyFill="1" applyBorder="1" applyAlignment="1">
      <alignment horizontal="center" vertical="top" wrapText="1"/>
    </xf>
    <xf numFmtId="0" fontId="34" fillId="0" borderId="25" xfId="12" applyFont="1" applyFill="1" applyBorder="1" applyAlignment="1">
      <alignment horizontal="center" vertical="center"/>
    </xf>
    <xf numFmtId="0" fontId="34" fillId="0" borderId="20" xfId="12" applyFont="1" applyFill="1" applyBorder="1" applyAlignment="1">
      <alignment horizontal="center" vertical="center"/>
    </xf>
    <xf numFmtId="165" fontId="37" fillId="0" borderId="20" xfId="11" applyNumberFormat="1" applyFont="1" applyFill="1" applyBorder="1" applyAlignment="1">
      <alignment horizontal="center" vertical="top"/>
    </xf>
    <xf numFmtId="165" fontId="37" fillId="0" borderId="26" xfId="11" applyNumberFormat="1" applyFont="1" applyFill="1" applyBorder="1" applyAlignment="1">
      <alignment horizontal="center" vertical="top"/>
    </xf>
    <xf numFmtId="0" fontId="19" fillId="0" borderId="18" xfId="12" applyFont="1" applyFill="1" applyBorder="1" applyAlignment="1">
      <alignment vertical="center"/>
    </xf>
    <xf numFmtId="0" fontId="25" fillId="0" borderId="17" xfId="12" applyFont="1" applyFill="1" applyBorder="1" applyAlignment="1">
      <alignment vertical="center"/>
    </xf>
    <xf numFmtId="0" fontId="25" fillId="0" borderId="19" xfId="12" applyFont="1" applyFill="1" applyBorder="1" applyAlignment="1">
      <alignment vertical="center"/>
    </xf>
    <xf numFmtId="0" fontId="25" fillId="0" borderId="18" xfId="12" applyFont="1" applyFill="1" applyBorder="1" applyAlignment="1">
      <alignment vertical="center"/>
    </xf>
    <xf numFmtId="0" fontId="34" fillId="0" borderId="24" xfId="12" applyFont="1" applyFill="1" applyBorder="1" applyAlignment="1">
      <alignment horizontal="center" vertical="center"/>
    </xf>
    <xf numFmtId="0" fontId="39" fillId="0" borderId="26" xfId="12" applyFont="1" applyFill="1" applyBorder="1" applyAlignment="1">
      <alignment horizontal="center" vertical="center"/>
    </xf>
    <xf numFmtId="0" fontId="39" fillId="0" borderId="24" xfId="12" applyFont="1" applyFill="1" applyBorder="1" applyAlignment="1">
      <alignment horizontal="center" vertical="center"/>
    </xf>
    <xf numFmtId="183" fontId="12" fillId="0" borderId="18" xfId="11" applyNumberFormat="1" applyFont="1" applyFill="1" applyBorder="1" applyAlignment="1">
      <alignment horizontal="left" vertical="center"/>
    </xf>
    <xf numFmtId="184" fontId="12" fillId="0" borderId="21" xfId="11" applyNumberFormat="1" applyFont="1" applyFill="1" applyBorder="1" applyAlignment="1">
      <alignment horizontal="left" vertical="center"/>
    </xf>
    <xf numFmtId="185" fontId="12" fillId="0" borderId="30" xfId="11" applyNumberFormat="1" applyFont="1" applyFill="1" applyBorder="1" applyAlignment="1">
      <alignment horizontal="right" vertical="center"/>
    </xf>
    <xf numFmtId="165" fontId="37" fillId="0" borderId="26" xfId="11" applyNumberFormat="1" applyFont="1" applyFill="1" applyBorder="1" applyAlignment="1">
      <alignment horizontal="center"/>
    </xf>
    <xf numFmtId="165" fontId="12" fillId="0" borderId="17" xfId="11" applyNumberFormat="1" applyFont="1" applyFill="1" applyBorder="1" applyAlignment="1">
      <alignment vertical="center"/>
    </xf>
    <xf numFmtId="165" fontId="20" fillId="0" borderId="18" xfId="11" applyNumberFormat="1" applyFont="1" applyFill="1" applyBorder="1" applyAlignment="1">
      <alignment horizontal="center" vertical="center"/>
    </xf>
    <xf numFmtId="165" fontId="37" fillId="0" borderId="24" xfId="11" applyNumberFormat="1" applyFont="1" applyFill="1" applyBorder="1" applyAlignment="1">
      <alignment horizontal="center" vertical="center"/>
    </xf>
    <xf numFmtId="165" fontId="12" fillId="0" borderId="19" xfId="11" applyNumberFormat="1" applyFont="1" applyFill="1" applyBorder="1"/>
    <xf numFmtId="165" fontId="37" fillId="0" borderId="24" xfId="11" applyNumberFormat="1" applyFont="1" applyFill="1" applyBorder="1" applyAlignment="1">
      <alignment horizontal="center"/>
    </xf>
    <xf numFmtId="186" fontId="12" fillId="0" borderId="18" xfId="11" applyNumberFormat="1" applyFont="1" applyFill="1" applyBorder="1" applyAlignment="1">
      <alignment horizontal="center" vertical="center"/>
    </xf>
    <xf numFmtId="187" fontId="12" fillId="0" borderId="18" xfId="11" applyNumberFormat="1" applyFont="1" applyFill="1" applyBorder="1" applyAlignment="1">
      <alignment horizontal="center" vertical="center"/>
    </xf>
    <xf numFmtId="188" fontId="12" fillId="0" borderId="18" xfId="11" applyNumberFormat="1" applyFont="1" applyFill="1" applyBorder="1" applyAlignment="1">
      <alignment horizontal="center" vertical="center"/>
    </xf>
    <xf numFmtId="189" fontId="12" fillId="0" borderId="18" xfId="11" applyNumberFormat="1" applyFont="1" applyFill="1" applyBorder="1" applyAlignment="1">
      <alignment horizontal="center" vertical="center"/>
    </xf>
    <xf numFmtId="165" fontId="37" fillId="0" borderId="30" xfId="11" applyNumberFormat="1" applyFont="1" applyFill="1" applyBorder="1" applyAlignment="1">
      <alignment horizontal="center"/>
    </xf>
    <xf numFmtId="165" fontId="12" fillId="0" borderId="23" xfId="7" applyNumberFormat="1" applyFont="1" applyFill="1" applyBorder="1" applyAlignment="1">
      <alignment horizontal="center"/>
    </xf>
    <xf numFmtId="190" fontId="12" fillId="0" borderId="18" xfId="11" applyNumberFormat="1" applyFont="1" applyFill="1" applyBorder="1" applyAlignment="1">
      <alignment horizontal="center" vertical="center"/>
    </xf>
    <xf numFmtId="14" fontId="6" fillId="0" borderId="0" xfId="0" applyNumberFormat="1" applyFont="1" applyFill="1" applyBorder="1"/>
    <xf numFmtId="14" fontId="6" fillId="0" borderId="0" xfId="0" applyNumberFormat="1" applyFont="1" applyFill="1" applyAlignment="1">
      <alignment horizontal="right"/>
    </xf>
    <xf numFmtId="0" fontId="40" fillId="0" borderId="0" xfId="1" applyFont="1" applyFill="1" applyAlignment="1" applyProtection="1"/>
    <xf numFmtId="0" fontId="2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Continuous"/>
    </xf>
    <xf numFmtId="3" fontId="6" fillId="0" borderId="0" xfId="0" applyNumberFormat="1" applyFont="1" applyFill="1" applyBorder="1" applyAlignment="1">
      <alignment horizontal="center"/>
    </xf>
    <xf numFmtId="171" fontId="6" fillId="0" borderId="16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9" fontId="6" fillId="0" borderId="16" xfId="0" applyNumberFormat="1" applyFont="1" applyFill="1" applyBorder="1" applyAlignment="1">
      <alignment horizontal="center"/>
    </xf>
    <xf numFmtId="14" fontId="6" fillId="0" borderId="0" xfId="0" applyNumberFormat="1" applyFont="1" applyFill="1"/>
    <xf numFmtId="0" fontId="22" fillId="0" borderId="16" xfId="2" applyFont="1" applyFill="1" applyBorder="1" applyAlignment="1">
      <alignment horizontal="center" vertical="center" wrapText="1"/>
    </xf>
    <xf numFmtId="165" fontId="6" fillId="0" borderId="0" xfId="7" applyNumberFormat="1" applyFont="1" applyFill="1"/>
    <xf numFmtId="0" fontId="6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right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Continuous"/>
    </xf>
    <xf numFmtId="0" fontId="6" fillId="0" borderId="23" xfId="0" applyFont="1" applyFill="1" applyBorder="1" applyAlignment="1">
      <alignment horizontal="centerContinuous"/>
    </xf>
    <xf numFmtId="0" fontId="14" fillId="0" borderId="1" xfId="4" applyFont="1" applyFill="1" applyBorder="1"/>
    <xf numFmtId="2" fontId="6" fillId="0" borderId="9" xfId="3" applyNumberFormat="1" applyFont="1" applyFill="1" applyBorder="1" applyAlignment="1">
      <alignment horizontal="center" vertical="center"/>
    </xf>
    <xf numFmtId="2" fontId="15" fillId="0" borderId="9" xfId="3" applyNumberFormat="1" applyFont="1" applyFill="1" applyBorder="1" applyAlignment="1">
      <alignment horizontal="center"/>
    </xf>
    <xf numFmtId="2" fontId="6" fillId="0" borderId="9" xfId="3" applyNumberFormat="1" applyFont="1" applyFill="1" applyBorder="1" applyAlignment="1">
      <alignment horizontal="center"/>
    </xf>
    <xf numFmtId="164" fontId="2" fillId="0" borderId="7" xfId="9" applyNumberFormat="1" applyFill="1" applyBorder="1"/>
    <xf numFmtId="2" fontId="6" fillId="0" borderId="31" xfId="3" applyNumberFormat="1" applyFont="1" applyFill="1" applyBorder="1" applyAlignment="1">
      <alignment horizontal="center" vertical="center"/>
    </xf>
    <xf numFmtId="2" fontId="6" fillId="0" borderId="28" xfId="3" applyNumberFormat="1" applyFont="1" applyFill="1" applyBorder="1" applyAlignment="1">
      <alignment horizontal="center" vertical="center"/>
    </xf>
    <xf numFmtId="0" fontId="2" fillId="0" borderId="28" xfId="4" applyFont="1" applyFill="1" applyBorder="1" applyAlignment="1">
      <alignment horizontal="center" vertical="center"/>
    </xf>
    <xf numFmtId="191" fontId="0" fillId="0" borderId="32" xfId="4" applyNumberFormat="1" applyFont="1" applyFill="1" applyBorder="1" applyAlignment="1">
      <alignment horizontal="center" vertical="center" wrapText="1"/>
    </xf>
    <xf numFmtId="2" fontId="6" fillId="0" borderId="33" xfId="3" applyNumberFormat="1" applyFont="1" applyFill="1" applyBorder="1" applyAlignment="1">
      <alignment horizontal="center"/>
    </xf>
    <xf numFmtId="1" fontId="6" fillId="0" borderId="34" xfId="3" applyNumberFormat="1" applyFont="1" applyFill="1" applyBorder="1" applyAlignment="1">
      <alignment horizontal="center"/>
    </xf>
    <xf numFmtId="164" fontId="2" fillId="0" borderId="35" xfId="9" applyNumberFormat="1" applyFill="1" applyBorder="1"/>
    <xf numFmtId="0" fontId="11" fillId="0" borderId="0" xfId="4" applyFont="1" applyFill="1" applyBorder="1" applyAlignment="1">
      <alignment horizontal="centerContinuous" vertical="center"/>
    </xf>
    <xf numFmtId="0" fontId="14" fillId="0" borderId="7" xfId="4" applyFont="1" applyFill="1" applyBorder="1"/>
    <xf numFmtId="0" fontId="14" fillId="0" borderId="9" xfId="4" applyFont="1" applyFill="1" applyBorder="1"/>
    <xf numFmtId="0" fontId="2" fillId="0" borderId="7" xfId="4" applyFont="1" applyFill="1" applyBorder="1" applyAlignment="1">
      <alignment horizontal="centerContinuous" wrapText="1"/>
    </xf>
    <xf numFmtId="0" fontId="2" fillId="0" borderId="9" xfId="4" applyFont="1" applyFill="1" applyBorder="1" applyAlignment="1">
      <alignment horizontal="centerContinuous" wrapText="1"/>
    </xf>
    <xf numFmtId="0" fontId="2" fillId="0" borderId="7" xfId="4" applyFont="1" applyFill="1" applyBorder="1" applyAlignment="1">
      <alignment horizontal="centerContinuous"/>
    </xf>
    <xf numFmtId="0" fontId="2" fillId="0" borderId="9" xfId="4" applyFont="1" applyFill="1" applyBorder="1" applyAlignment="1">
      <alignment horizontal="centerContinuous"/>
    </xf>
    <xf numFmtId="0" fontId="15" fillId="0" borderId="9" xfId="4" applyNumberFormat="1" applyFont="1" applyFill="1" applyBorder="1"/>
    <xf numFmtId="192" fontId="0" fillId="0" borderId="7" xfId="4" applyNumberFormat="1" applyFont="1" applyFill="1" applyBorder="1" applyAlignment="1">
      <alignment horizontal="center" vertical="center" wrapText="1"/>
    </xf>
    <xf numFmtId="0" fontId="14" fillId="0" borderId="34" xfId="4" applyFont="1" applyFill="1" applyBorder="1"/>
    <xf numFmtId="0" fontId="2" fillId="0" borderId="35" xfId="4" applyFont="1" applyFill="1" applyBorder="1" applyAlignment="1">
      <alignment horizontal="centerContinuous"/>
    </xf>
    <xf numFmtId="0" fontId="2" fillId="0" borderId="33" xfId="4" applyFont="1" applyFill="1" applyBorder="1" applyAlignment="1">
      <alignment horizontal="centerContinuous"/>
    </xf>
    <xf numFmtId="0" fontId="15" fillId="0" borderId="33" xfId="4" applyNumberFormat="1" applyFont="1" applyFill="1" applyBorder="1"/>
    <xf numFmtId="0" fontId="15" fillId="0" borderId="34" xfId="4" applyNumberFormat="1" applyFont="1" applyFill="1" applyBorder="1" applyAlignment="1">
      <alignment horizontal="center"/>
    </xf>
    <xf numFmtId="0" fontId="2" fillId="0" borderId="9" xfId="4" applyFill="1" applyBorder="1" applyAlignment="1">
      <alignment horizontal="center"/>
    </xf>
    <xf numFmtId="165" fontId="2" fillId="0" borderId="7" xfId="9" applyNumberFormat="1" applyFill="1" applyBorder="1"/>
    <xf numFmtId="193" fontId="2" fillId="0" borderId="33" xfId="4" applyNumberFormat="1" applyFill="1" applyBorder="1" applyAlignment="1">
      <alignment horizontal="center"/>
    </xf>
    <xf numFmtId="0" fontId="0" fillId="0" borderId="34" xfId="4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>
      <alignment wrapText="1"/>
    </xf>
    <xf numFmtId="0" fontId="6" fillId="0" borderId="31" xfId="0" applyFont="1" applyFill="1" applyBorder="1" applyAlignment="1">
      <alignment horizontal="center" vertical="center" wrapText="1"/>
    </xf>
    <xf numFmtId="194" fontId="6" fillId="0" borderId="28" xfId="4" applyNumberFormat="1" applyFont="1" applyFill="1" applyBorder="1" applyAlignment="1">
      <alignment horizontal="center" vertical="center" wrapText="1"/>
    </xf>
    <xf numFmtId="195" fontId="6" fillId="0" borderId="28" xfId="4" applyNumberFormat="1" applyFont="1" applyFill="1" applyBorder="1" applyAlignment="1">
      <alignment horizontal="center" vertical="center" wrapText="1"/>
    </xf>
    <xf numFmtId="196" fontId="6" fillId="0" borderId="32" xfId="4" applyNumberFormat="1" applyFont="1" applyFill="1" applyBorder="1" applyAlignment="1">
      <alignment horizontal="center" vertical="center" wrapText="1"/>
    </xf>
    <xf numFmtId="165" fontId="6" fillId="0" borderId="5" xfId="7" applyNumberFormat="1" applyFont="1" applyFill="1" applyBorder="1"/>
    <xf numFmtId="0" fontId="6" fillId="0" borderId="9" xfId="0" applyFont="1" applyFill="1" applyBorder="1" applyAlignment="1">
      <alignment vertical="center"/>
    </xf>
    <xf numFmtId="171" fontId="6" fillId="0" borderId="1" xfId="7" applyNumberFormat="1" applyFont="1" applyFill="1" applyBorder="1" applyAlignment="1">
      <alignment horizontal="center"/>
    </xf>
    <xf numFmtId="171" fontId="6" fillId="0" borderId="7" xfId="7" applyNumberFormat="1" applyFont="1" applyFill="1" applyBorder="1" applyAlignment="1">
      <alignment horizontal="center"/>
    </xf>
    <xf numFmtId="1" fontId="6" fillId="0" borderId="33" xfId="0" applyNumberFormat="1" applyFont="1" applyFill="1" applyBorder="1" applyAlignment="1">
      <alignment horizontal="left" vertical="center"/>
    </xf>
    <xf numFmtId="171" fontId="6" fillId="0" borderId="34" xfId="7" applyNumberFormat="1" applyFont="1" applyFill="1" applyBorder="1" applyAlignment="1">
      <alignment horizontal="center"/>
    </xf>
    <xf numFmtId="171" fontId="6" fillId="0" borderId="35" xfId="7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vertical="center" wrapText="1"/>
    </xf>
    <xf numFmtId="3" fontId="12" fillId="0" borderId="0" xfId="7" applyNumberFormat="1" applyFont="1" applyFill="1" applyBorder="1" applyAlignment="1">
      <alignment horizontal="center" vertical="center"/>
    </xf>
    <xf numFmtId="3" fontId="6" fillId="0" borderId="0" xfId="7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171" fontId="6" fillId="0" borderId="0" xfId="7" applyNumberFormat="1" applyFont="1" applyFill="1" applyBorder="1" applyAlignment="1">
      <alignment horizontal="center"/>
    </xf>
    <xf numFmtId="165" fontId="6" fillId="0" borderId="0" xfId="7" applyNumberFormat="1" applyFont="1" applyFill="1" applyBorder="1"/>
    <xf numFmtId="0" fontId="29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12" fillId="0" borderId="0" xfId="0" applyFont="1" applyFill="1" applyBorder="1" applyAlignment="1"/>
    <xf numFmtId="0" fontId="12" fillId="0" borderId="0" xfId="7" applyNumberFormat="1" applyFont="1" applyFill="1" applyBorder="1" applyAlignment="1">
      <alignment horizontal="left" vertical="center"/>
    </xf>
    <xf numFmtId="172" fontId="6" fillId="0" borderId="0" xfId="0" applyNumberFormat="1" applyFont="1" applyFill="1" applyAlignment="1">
      <alignment horizontal="center"/>
    </xf>
    <xf numFmtId="0" fontId="29" fillId="0" borderId="8" xfId="0" applyFont="1" applyFill="1" applyBorder="1" applyAlignment="1">
      <alignment horizontal="centerContinuous" vertical="center"/>
    </xf>
    <xf numFmtId="0" fontId="29" fillId="0" borderId="1" xfId="0" applyFont="1" applyFill="1" applyBorder="1" applyAlignment="1">
      <alignment horizontal="centerContinuous" vertical="center"/>
    </xf>
    <xf numFmtId="0" fontId="6" fillId="0" borderId="9" xfId="0" applyFont="1" applyFill="1" applyBorder="1" applyAlignment="1">
      <alignment horizontal="left"/>
    </xf>
    <xf numFmtId="0" fontId="6" fillId="0" borderId="33" xfId="0" applyFont="1" applyFill="1" applyBorder="1" applyAlignment="1">
      <alignment horizontal="left"/>
    </xf>
    <xf numFmtId="0" fontId="41" fillId="0" borderId="36" xfId="0" applyFont="1" applyFill="1" applyBorder="1" applyAlignment="1"/>
    <xf numFmtId="0" fontId="42" fillId="0" borderId="36" xfId="0" applyFont="1" applyFill="1" applyBorder="1" applyAlignment="1">
      <alignment horizontal="center"/>
    </xf>
    <xf numFmtId="197" fontId="6" fillId="0" borderId="9" xfId="0" applyNumberFormat="1" applyFont="1" applyFill="1" applyBorder="1"/>
    <xf numFmtId="198" fontId="6" fillId="0" borderId="9" xfId="0" applyNumberFormat="1" applyFont="1" applyFill="1" applyBorder="1"/>
    <xf numFmtId="165" fontId="43" fillId="0" borderId="0" xfId="0" applyNumberFormat="1" applyFont="1" applyFill="1" applyAlignment="1">
      <alignment vertical="center"/>
    </xf>
    <xf numFmtId="0" fontId="43" fillId="0" borderId="0" xfId="0" applyFont="1" applyFill="1" applyAlignment="1">
      <alignment vertical="center"/>
    </xf>
    <xf numFmtId="0" fontId="6" fillId="0" borderId="23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/>
    </xf>
    <xf numFmtId="49" fontId="6" fillId="0" borderId="23" xfId="0" applyNumberFormat="1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20" fillId="0" borderId="16" xfId="0" applyFont="1" applyFill="1" applyBorder="1" applyAlignment="1">
      <alignment horizontal="centerContinuous" vertical="center"/>
    </xf>
    <xf numFmtId="0" fontId="6" fillId="0" borderId="16" xfId="0" applyFont="1" applyFill="1" applyBorder="1" applyAlignment="1">
      <alignment horizontal="centerContinuous" vertical="center"/>
    </xf>
    <xf numFmtId="0" fontId="20" fillId="0" borderId="16" xfId="0" applyFont="1" applyFill="1" applyBorder="1" applyAlignment="1">
      <alignment horizontal="centerContinuous" vertical="center" wrapText="1"/>
    </xf>
    <xf numFmtId="0" fontId="6" fillId="0" borderId="22" xfId="0" applyFont="1" applyFill="1" applyBorder="1" applyAlignment="1">
      <alignment horizontal="left" vertical="center"/>
    </xf>
    <xf numFmtId="0" fontId="21" fillId="0" borderId="27" xfId="0" applyFont="1" applyFill="1" applyBorder="1" applyAlignment="1">
      <alignment horizontal="left" vertical="center"/>
    </xf>
    <xf numFmtId="0" fontId="21" fillId="0" borderId="23" xfId="0" applyFont="1" applyFill="1" applyBorder="1" applyAlignment="1">
      <alignment vertical="center"/>
    </xf>
    <xf numFmtId="0" fontId="21" fillId="0" borderId="27" xfId="0" applyFont="1" applyFill="1" applyBorder="1" applyAlignment="1">
      <alignment vertical="center"/>
    </xf>
    <xf numFmtId="0" fontId="6" fillId="0" borderId="23" xfId="0" quotePrefix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Continuous"/>
    </xf>
    <xf numFmtId="185" fontId="12" fillId="0" borderId="29" xfId="11" applyNumberFormat="1" applyFont="1" applyFill="1" applyBorder="1" applyAlignment="1">
      <alignment horizontal="right" vertical="center"/>
    </xf>
    <xf numFmtId="165" fontId="12" fillId="0" borderId="29" xfId="11" applyNumberFormat="1" applyFont="1" applyFill="1" applyBorder="1" applyAlignment="1">
      <alignment horizontal="center" vertical="center"/>
    </xf>
    <xf numFmtId="165" fontId="37" fillId="0" borderId="30" xfId="11" applyNumberFormat="1" applyFont="1" applyFill="1" applyBorder="1" applyAlignment="1">
      <alignment horizontal="center" vertical="center"/>
    </xf>
    <xf numFmtId="165" fontId="12" fillId="0" borderId="23" xfId="7" applyNumberFormat="1" applyFont="1" applyFill="1" applyBorder="1" applyAlignment="1">
      <alignment horizontal="center" vertical="center"/>
    </xf>
    <xf numFmtId="199" fontId="12" fillId="0" borderId="20" xfId="7" applyNumberFormat="1" applyFont="1" applyFill="1" applyBorder="1" applyAlignment="1">
      <alignment horizontal="center" vertical="center" wrapText="1"/>
    </xf>
    <xf numFmtId="200" fontId="12" fillId="0" borderId="20" xfId="7" applyNumberFormat="1" applyFont="1" applyFill="1" applyBorder="1" applyAlignment="1">
      <alignment horizontal="center" vertical="center" wrapText="1"/>
    </xf>
    <xf numFmtId="200" fontId="12" fillId="0" borderId="26" xfId="7" applyNumberFormat="1" applyFont="1" applyFill="1" applyBorder="1" applyAlignment="1">
      <alignment horizontal="center" vertical="center" wrapText="1"/>
    </xf>
    <xf numFmtId="165" fontId="12" fillId="0" borderId="18" xfId="7" applyNumberFormat="1" applyFont="1" applyFill="1" applyBorder="1" applyAlignment="1">
      <alignment horizontal="center"/>
    </xf>
    <xf numFmtId="3" fontId="12" fillId="0" borderId="21" xfId="7" applyNumberFormat="1" applyFont="1" applyFill="1" applyBorder="1" applyAlignment="1">
      <alignment horizontal="center"/>
    </xf>
    <xf numFmtId="9" fontId="12" fillId="0" borderId="22" xfId="6" applyFont="1" applyFill="1" applyBorder="1" applyAlignment="1">
      <alignment horizontal="centerContinuous" wrapText="1"/>
    </xf>
    <xf numFmtId="9" fontId="12" fillId="0" borderId="27" xfId="6" applyFont="1" applyFill="1" applyBorder="1" applyAlignment="1">
      <alignment horizontal="centerContinuous" wrapText="1"/>
    </xf>
    <xf numFmtId="9" fontId="12" fillId="0" borderId="23" xfId="6" applyFont="1" applyFill="1" applyBorder="1" applyAlignment="1">
      <alignment horizontal="centerContinuous" wrapText="1"/>
    </xf>
    <xf numFmtId="9" fontId="12" fillId="0" borderId="16" xfId="6" applyFont="1" applyFill="1" applyBorder="1" applyAlignment="1">
      <alignment horizontal="centerContinuous"/>
    </xf>
    <xf numFmtId="9" fontId="12" fillId="0" borderId="16" xfId="6" applyFont="1" applyFill="1" applyBorder="1" applyAlignment="1">
      <alignment horizontal="centerContinuous" wrapText="1"/>
    </xf>
    <xf numFmtId="165" fontId="12" fillId="0" borderId="22" xfId="7" applyNumberFormat="1" applyFont="1" applyFill="1" applyBorder="1" applyAlignment="1">
      <alignment horizontal="centerContinuous" vertical="center"/>
    </xf>
    <xf numFmtId="165" fontId="12" fillId="0" borderId="27" xfId="7" applyNumberFormat="1" applyFont="1" applyFill="1" applyBorder="1" applyAlignment="1">
      <alignment horizontal="centerContinuous" vertical="center" wrapText="1"/>
    </xf>
    <xf numFmtId="165" fontId="12" fillId="0" borderId="23" xfId="7" applyNumberFormat="1" applyFont="1" applyFill="1" applyBorder="1" applyAlignment="1">
      <alignment horizontal="centerContinuous" vertical="center" wrapText="1"/>
    </xf>
    <xf numFmtId="165" fontId="12" fillId="0" borderId="17" xfId="7" applyNumberFormat="1" applyFont="1" applyFill="1" applyBorder="1" applyAlignment="1">
      <alignment horizontal="centerContinuous" vertical="center"/>
    </xf>
    <xf numFmtId="165" fontId="12" fillId="0" borderId="18" xfId="7" applyNumberFormat="1" applyFont="1" applyFill="1" applyBorder="1" applyAlignment="1">
      <alignment horizontal="centerContinuous" vertical="center" wrapText="1"/>
    </xf>
    <xf numFmtId="9" fontId="37" fillId="0" borderId="24" xfId="6" applyFont="1" applyFill="1" applyBorder="1" applyAlignment="1"/>
    <xf numFmtId="9" fontId="37" fillId="0" borderId="24" xfId="6" applyFont="1" applyFill="1" applyBorder="1" applyAlignment="1">
      <alignment horizontal="center" wrapText="1"/>
    </xf>
    <xf numFmtId="0" fontId="6" fillId="0" borderId="1" xfId="0" applyFont="1" applyFill="1" applyBorder="1"/>
    <xf numFmtId="0" fontId="12" fillId="0" borderId="0" xfId="0" applyFont="1" applyFill="1"/>
    <xf numFmtId="0" fontId="6" fillId="0" borderId="16" xfId="0" applyFont="1" applyFill="1" applyBorder="1" applyAlignment="1">
      <alignment horizontal="centerContinuous" wrapText="1"/>
    </xf>
    <xf numFmtId="0" fontId="30" fillId="0" borderId="21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44" fillId="0" borderId="25" xfId="0" applyFont="1" applyFill="1" applyBorder="1" applyAlignment="1">
      <alignment horizontal="center" vertical="center" wrapText="1"/>
    </xf>
    <xf numFmtId="0" fontId="42" fillId="0" borderId="26" xfId="0" applyFont="1" applyFill="1" applyBorder="1" applyAlignment="1">
      <alignment horizontal="center" vertical="center" wrapText="1"/>
    </xf>
    <xf numFmtId="0" fontId="42" fillId="0" borderId="24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left" indent="2"/>
    </xf>
    <xf numFmtId="175" fontId="12" fillId="0" borderId="0" xfId="7" applyNumberFormat="1" applyFont="1" applyFill="1"/>
    <xf numFmtId="0" fontId="12" fillId="0" borderId="16" xfId="0" applyFont="1" applyFill="1" applyBorder="1" applyAlignment="1">
      <alignment horizontal="left" indent="1"/>
    </xf>
    <xf numFmtId="0" fontId="12" fillId="0" borderId="21" xfId="0" applyFont="1" applyFill="1" applyBorder="1" applyAlignment="1">
      <alignment horizontal="left" indent="1"/>
    </xf>
    <xf numFmtId="0" fontId="6" fillId="0" borderId="21" xfId="0" applyFont="1" applyFill="1" applyBorder="1"/>
    <xf numFmtId="0" fontId="44" fillId="0" borderId="25" xfId="0" applyFont="1" applyFill="1" applyBorder="1" applyAlignment="1">
      <alignment horizontal="center" vertical="center"/>
    </xf>
    <xf numFmtId="0" fontId="42" fillId="0" borderId="26" xfId="0" applyFont="1" applyFill="1" applyBorder="1" applyAlignment="1">
      <alignment horizontal="left" vertical="center" wrapText="1"/>
    </xf>
    <xf numFmtId="0" fontId="42" fillId="0" borderId="24" xfId="0" applyFont="1" applyFill="1" applyBorder="1" applyAlignment="1">
      <alignment horizontal="left" vertical="center" wrapText="1"/>
    </xf>
    <xf numFmtId="201" fontId="29" fillId="0" borderId="25" xfId="7" applyNumberFormat="1" applyFont="1" applyFill="1" applyBorder="1" applyAlignment="1">
      <alignment horizontal="center" vertical="center" wrapText="1"/>
    </xf>
    <xf numFmtId="3" fontId="42" fillId="0" borderId="26" xfId="7" applyNumberFormat="1" applyFont="1" applyFill="1" applyBorder="1" applyAlignment="1">
      <alignment horizontal="left"/>
    </xf>
    <xf numFmtId="3" fontId="42" fillId="0" borderId="24" xfId="7" applyNumberFormat="1" applyFont="1" applyFill="1" applyBorder="1" applyAlignment="1">
      <alignment horizontal="left"/>
    </xf>
    <xf numFmtId="202" fontId="12" fillId="0" borderId="25" xfId="7" applyNumberFormat="1" applyFont="1" applyFill="1" applyBorder="1" applyAlignment="1">
      <alignment horizontal="center" vertical="center"/>
    </xf>
    <xf numFmtId="0" fontId="12" fillId="0" borderId="23" xfId="7" quotePrefix="1" applyNumberFormat="1" applyFont="1" applyFill="1" applyBorder="1" applyAlignment="1">
      <alignment horizontal="center" vertical="center"/>
    </xf>
    <xf numFmtId="203" fontId="20" fillId="0" borderId="25" xfId="7" applyNumberFormat="1" applyFont="1" applyFill="1" applyBorder="1" applyAlignment="1">
      <alignment horizontal="center" vertical="center" wrapText="1"/>
    </xf>
    <xf numFmtId="204" fontId="12" fillId="0" borderId="26" xfId="7" applyNumberFormat="1" applyFont="1" applyFill="1" applyBorder="1" applyAlignment="1">
      <alignment horizontal="center" vertical="center" wrapText="1"/>
    </xf>
    <xf numFmtId="165" fontId="37" fillId="0" borderId="24" xfId="7" applyNumberFormat="1" applyFont="1" applyFill="1" applyBorder="1" applyAlignment="1">
      <alignment horizontal="center" vertical="center" wrapText="1"/>
    </xf>
    <xf numFmtId="205" fontId="20" fillId="0" borderId="25" xfId="7" applyNumberFormat="1" applyFont="1" applyFill="1" applyBorder="1" applyAlignment="1">
      <alignment horizontal="center" vertical="center" wrapText="1"/>
    </xf>
    <xf numFmtId="165" fontId="37" fillId="0" borderId="26" xfId="7" applyNumberFormat="1" applyFont="1" applyFill="1" applyBorder="1" applyAlignment="1">
      <alignment horizontal="center" vertical="top" wrapText="1"/>
    </xf>
    <xf numFmtId="165" fontId="37" fillId="0" borderId="24" xfId="7" applyNumberFormat="1" applyFont="1" applyFill="1" applyBorder="1" applyAlignment="1">
      <alignment horizontal="center" vertical="top" wrapText="1"/>
    </xf>
    <xf numFmtId="0" fontId="37" fillId="0" borderId="25" xfId="7" applyNumberFormat="1" applyFont="1" applyFill="1" applyBorder="1" applyAlignment="1">
      <alignment horizontal="center" vertical="center"/>
    </xf>
    <xf numFmtId="206" fontId="20" fillId="0" borderId="25" xfId="7" applyNumberFormat="1" applyFont="1" applyFill="1" applyBorder="1" applyAlignment="1">
      <alignment horizontal="center" vertical="center" wrapText="1"/>
    </xf>
    <xf numFmtId="207" fontId="20" fillId="0" borderId="25" xfId="7" applyNumberFormat="1" applyFont="1" applyFill="1" applyBorder="1" applyAlignment="1">
      <alignment horizontal="center" vertical="center" wrapText="1"/>
    </xf>
    <xf numFmtId="208" fontId="20" fillId="0" borderId="25" xfId="7" applyNumberFormat="1" applyFont="1" applyFill="1" applyBorder="1" applyAlignment="1">
      <alignment horizontal="center" vertical="center" wrapText="1"/>
    </xf>
    <xf numFmtId="209" fontId="12" fillId="0" borderId="25" xfId="7" applyNumberFormat="1" applyFont="1" applyFill="1" applyBorder="1" applyAlignment="1">
      <alignment horizontal="center" vertical="center"/>
    </xf>
    <xf numFmtId="0" fontId="5" fillId="0" borderId="0" xfId="1" applyFill="1" applyBorder="1" applyAlignment="1" applyProtection="1">
      <alignment horizontal="left" vertical="top" indent="1"/>
    </xf>
    <xf numFmtId="0" fontId="5" fillId="0" borderId="0" xfId="1" applyBorder="1" applyAlignment="1" applyProtection="1">
      <alignment horizontal="left" vertical="top" indent="1"/>
    </xf>
    <xf numFmtId="0" fontId="29" fillId="0" borderId="21" xfId="0" applyFont="1" applyFill="1" applyBorder="1" applyAlignment="1">
      <alignment horizontal="center"/>
    </xf>
    <xf numFmtId="165" fontId="17" fillId="0" borderId="17" xfId="11" applyNumberFormat="1" applyFont="1" applyFill="1" applyBorder="1" applyAlignment="1">
      <alignment vertical="center"/>
    </xf>
    <xf numFmtId="0" fontId="2" fillId="0" borderId="18" xfId="12" applyFill="1" applyBorder="1" applyAlignment="1">
      <alignment horizontal="center" vertical="center" wrapText="1"/>
    </xf>
    <xf numFmtId="0" fontId="38" fillId="0" borderId="26" xfId="12" applyFont="1" applyFill="1" applyBorder="1" applyAlignment="1">
      <alignment horizontal="center" vertical="center" wrapText="1"/>
    </xf>
    <xf numFmtId="0" fontId="38" fillId="0" borderId="25" xfId="12" applyFont="1" applyFill="1" applyBorder="1" applyAlignment="1">
      <alignment horizontal="center" vertical="center" wrapText="1"/>
    </xf>
    <xf numFmtId="210" fontId="12" fillId="0" borderId="23" xfId="7" applyNumberFormat="1" applyFont="1" applyFill="1" applyBorder="1" applyAlignment="1">
      <alignment horizontal="center" vertical="center"/>
    </xf>
    <xf numFmtId="211" fontId="12" fillId="0" borderId="23" xfId="7" applyNumberFormat="1" applyFont="1" applyFill="1" applyBorder="1" applyAlignment="1">
      <alignment horizontal="center" vertical="center"/>
    </xf>
    <xf numFmtId="212" fontId="12" fillId="0" borderId="23" xfId="7" applyNumberFormat="1" applyFont="1" applyFill="1" applyBorder="1" applyAlignment="1">
      <alignment horizontal="center" vertical="center"/>
    </xf>
    <xf numFmtId="213" fontId="12" fillId="0" borderId="23" xfId="7" applyNumberFormat="1" applyFont="1" applyFill="1" applyBorder="1" applyAlignment="1">
      <alignment horizontal="center" vertical="center"/>
    </xf>
    <xf numFmtId="214" fontId="12" fillId="0" borderId="23" xfId="7" applyNumberFormat="1" applyFont="1" applyFill="1" applyBorder="1" applyAlignment="1">
      <alignment horizontal="center" vertical="center"/>
    </xf>
    <xf numFmtId="215" fontId="12" fillId="0" borderId="23" xfId="7" applyNumberFormat="1" applyFont="1" applyFill="1" applyBorder="1" applyAlignment="1">
      <alignment horizontal="center" vertical="center"/>
    </xf>
    <xf numFmtId="0" fontId="12" fillId="0" borderId="18" xfId="7" quotePrefix="1" applyNumberFormat="1" applyFont="1" applyFill="1" applyBorder="1" applyAlignment="1">
      <alignment horizontal="center" vertical="center"/>
    </xf>
    <xf numFmtId="216" fontId="12" fillId="0" borderId="23" xfId="7" applyNumberFormat="1" applyFont="1" applyFill="1" applyBorder="1" applyAlignment="1">
      <alignment horizontal="center" vertical="center"/>
    </xf>
    <xf numFmtId="217" fontId="12" fillId="0" borderId="23" xfId="7" applyNumberFormat="1" applyFont="1" applyFill="1" applyBorder="1" applyAlignment="1">
      <alignment horizontal="center" vertical="center"/>
    </xf>
    <xf numFmtId="218" fontId="12" fillId="0" borderId="23" xfId="7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167" fontId="3" fillId="0" borderId="23" xfId="0" applyNumberFormat="1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219" fontId="6" fillId="0" borderId="16" xfId="0" applyNumberFormat="1" applyFont="1" applyFill="1" applyBorder="1" applyAlignment="1">
      <alignment horizontal="center" vertical="center" wrapText="1"/>
    </xf>
    <xf numFmtId="220" fontId="6" fillId="0" borderId="16" xfId="0" applyNumberFormat="1" applyFont="1" applyFill="1" applyBorder="1" applyAlignment="1">
      <alignment horizontal="center" vertical="center" wrapText="1"/>
    </xf>
    <xf numFmtId="222" fontId="42" fillId="0" borderId="25" xfId="0" applyNumberFormat="1" applyFont="1" applyFill="1" applyBorder="1" applyAlignment="1">
      <alignment horizontal="center" vertical="center" wrapText="1"/>
    </xf>
    <xf numFmtId="2" fontId="6" fillId="0" borderId="23" xfId="0" applyNumberFormat="1" applyFont="1" applyFill="1" applyBorder="1" applyAlignment="1">
      <alignment horizontal="center" vertical="center"/>
    </xf>
    <xf numFmtId="0" fontId="42" fillId="0" borderId="27" xfId="0" applyFont="1" applyFill="1" applyBorder="1" applyAlignment="1">
      <alignment horizontal="centerContinuous" vertical="center"/>
    </xf>
    <xf numFmtId="171" fontId="6" fillId="0" borderId="22" xfId="0" applyNumberFormat="1" applyFont="1" applyFill="1" applyBorder="1" applyAlignment="1">
      <alignment horizontal="center"/>
    </xf>
    <xf numFmtId="2" fontId="6" fillId="0" borderId="18" xfId="0" applyNumberFormat="1" applyFont="1" applyFill="1" applyBorder="1" applyAlignment="1">
      <alignment horizontal="center" vertical="center"/>
    </xf>
    <xf numFmtId="171" fontId="6" fillId="0" borderId="21" xfId="0" applyNumberFormat="1" applyFont="1" applyFill="1" applyBorder="1" applyAlignment="1">
      <alignment horizontal="center"/>
    </xf>
    <xf numFmtId="171" fontId="6" fillId="0" borderId="17" xfId="0" applyNumberFormat="1" applyFont="1" applyFill="1" applyBorder="1" applyAlignment="1">
      <alignment horizontal="center"/>
    </xf>
    <xf numFmtId="0" fontId="14" fillId="0" borderId="1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wrapText="1"/>
    </xf>
    <xf numFmtId="0" fontId="4" fillId="0" borderId="16" xfId="2" applyFont="1" applyFill="1" applyBorder="1" applyAlignment="1">
      <alignment horizontal="center" vertical="center"/>
    </xf>
    <xf numFmtId="167" fontId="6" fillId="0" borderId="23" xfId="0" applyNumberFormat="1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222" fontId="6" fillId="0" borderId="25" xfId="0" applyNumberFormat="1" applyFont="1" applyFill="1" applyBorder="1" applyAlignment="1">
      <alignment horizontal="center"/>
    </xf>
    <xf numFmtId="223" fontId="6" fillId="0" borderId="26" xfId="0" applyNumberFormat="1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167" fontId="6" fillId="0" borderId="23" xfId="2" applyNumberFormat="1" applyFont="1" applyFill="1" applyBorder="1" applyAlignment="1">
      <alignment horizontal="center" vertical="center"/>
    </xf>
    <xf numFmtId="224" fontId="6" fillId="0" borderId="22" xfId="0" applyNumberFormat="1" applyFont="1" applyFill="1" applyBorder="1" applyAlignment="1">
      <alignment horizontal="center" vertical="center" wrapText="1"/>
    </xf>
    <xf numFmtId="0" fontId="6" fillId="0" borderId="21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Continuous" vertical="center" wrapText="1"/>
    </xf>
    <xf numFmtId="0" fontId="6" fillId="0" borderId="18" xfId="0" applyFont="1" applyFill="1" applyBorder="1" applyAlignment="1">
      <alignment horizontal="centerContinuous" vertical="center"/>
    </xf>
    <xf numFmtId="225" fontId="6" fillId="0" borderId="16" xfId="0" applyNumberFormat="1" applyFont="1" applyFill="1" applyBorder="1" applyAlignment="1">
      <alignment horizontal="center" vertical="center" wrapText="1"/>
    </xf>
    <xf numFmtId="226" fontId="6" fillId="0" borderId="16" xfId="0" applyNumberFormat="1" applyFont="1" applyFill="1" applyBorder="1" applyAlignment="1">
      <alignment horizontal="center" vertical="center" wrapText="1"/>
    </xf>
    <xf numFmtId="226" fontId="6" fillId="0" borderId="22" xfId="0" applyNumberFormat="1" applyFont="1" applyFill="1" applyBorder="1" applyAlignment="1">
      <alignment horizontal="center" vertical="center" wrapText="1"/>
    </xf>
    <xf numFmtId="2" fontId="3" fillId="0" borderId="23" xfId="2" applyNumberFormat="1" applyFont="1" applyFill="1" applyBorder="1" applyAlignment="1">
      <alignment horizontal="centerContinuous" vertical="center"/>
    </xf>
    <xf numFmtId="0" fontId="3" fillId="0" borderId="22" xfId="0" applyFont="1" applyFill="1" applyBorder="1" applyAlignment="1">
      <alignment horizontal="centerContinuous" vertical="center" wrapText="1"/>
    </xf>
    <xf numFmtId="167" fontId="3" fillId="0" borderId="23" xfId="0" applyNumberFormat="1" applyFont="1" applyFill="1" applyBorder="1" applyAlignment="1">
      <alignment horizontal="centerContinuous" vertical="center" wrapText="1"/>
    </xf>
    <xf numFmtId="0" fontId="3" fillId="0" borderId="22" xfId="2" applyFont="1" applyFill="1" applyBorder="1" applyAlignment="1">
      <alignment horizontal="centerContinuous" vertical="center" wrapText="1"/>
    </xf>
    <xf numFmtId="0" fontId="3" fillId="0" borderId="23" xfId="2" applyFont="1" applyFill="1" applyBorder="1" applyAlignment="1">
      <alignment horizontal="centerContinuous" vertical="center" wrapText="1"/>
    </xf>
    <xf numFmtId="167" fontId="3" fillId="0" borderId="27" xfId="0" applyNumberFormat="1" applyFont="1" applyFill="1" applyBorder="1" applyAlignment="1">
      <alignment horizontal="centerContinuous" vertical="center"/>
    </xf>
    <xf numFmtId="222" fontId="6" fillId="0" borderId="24" xfId="0" applyNumberFormat="1" applyFont="1" applyFill="1" applyBorder="1" applyAlignment="1">
      <alignment horizontal="centerContinuous"/>
    </xf>
    <xf numFmtId="167" fontId="3" fillId="0" borderId="19" xfId="0" applyNumberFormat="1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 wrapText="1"/>
    </xf>
    <xf numFmtId="14" fontId="14" fillId="0" borderId="0" xfId="0" applyNumberFormat="1" applyFont="1" applyFill="1" applyAlignment="1">
      <alignment horizontal="right"/>
    </xf>
    <xf numFmtId="0" fontId="3" fillId="0" borderId="24" xfId="0" applyFont="1" applyFill="1" applyBorder="1" applyAlignment="1">
      <alignment horizontal="centerContinuous" vertical="center" wrapText="1"/>
    </xf>
    <xf numFmtId="0" fontId="3" fillId="0" borderId="30" xfId="0" applyFont="1" applyFill="1" applyBorder="1" applyAlignment="1">
      <alignment horizontal="center" vertical="center"/>
    </xf>
    <xf numFmtId="167" fontId="3" fillId="0" borderId="30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Continuous" vertical="center"/>
    </xf>
    <xf numFmtId="0" fontId="3" fillId="0" borderId="0" xfId="2" applyFont="1" applyFill="1" applyBorder="1" applyAlignment="1">
      <alignment horizontal="centerContinuous" vertical="center"/>
    </xf>
    <xf numFmtId="2" fontId="3" fillId="0" borderId="0" xfId="2" applyNumberFormat="1" applyFont="1" applyFill="1" applyBorder="1" applyAlignment="1">
      <alignment horizontal="centerContinuous" vertical="center"/>
    </xf>
    <xf numFmtId="0" fontId="3" fillId="0" borderId="0" xfId="2" applyFont="1" applyFill="1" applyBorder="1" applyAlignment="1">
      <alignment horizontal="centerContinuous" vertical="center" wrapText="1" shrinkToFit="1"/>
    </xf>
    <xf numFmtId="0" fontId="14" fillId="0" borderId="0" xfId="2" applyFont="1" applyFill="1" applyBorder="1" applyAlignment="1">
      <alignment horizontal="centerContinuous" vertical="center" wrapText="1" shrinkToFit="1"/>
    </xf>
    <xf numFmtId="0" fontId="0" fillId="0" borderId="0" xfId="0" applyFill="1" applyAlignment="1">
      <alignment horizontal="centerContinuous" vertical="center" wrapText="1"/>
    </xf>
    <xf numFmtId="14" fontId="0" fillId="0" borderId="0" xfId="0" applyNumberFormat="1" applyFont="1" applyFill="1" applyAlignment="1">
      <alignment horizontal="right"/>
    </xf>
    <xf numFmtId="0" fontId="3" fillId="0" borderId="24" xfId="0" applyFont="1" applyFill="1" applyBorder="1" applyAlignment="1">
      <alignment horizontal="right" vertical="center"/>
    </xf>
    <xf numFmtId="0" fontId="0" fillId="0" borderId="22" xfId="0" applyFill="1" applyBorder="1" applyAlignment="1">
      <alignment horizontal="centerContinuous" vertical="center" wrapText="1"/>
    </xf>
    <xf numFmtId="0" fontId="0" fillId="0" borderId="27" xfId="0" applyFill="1" applyBorder="1" applyAlignment="1">
      <alignment horizontal="centerContinuous" vertical="center" wrapText="1"/>
    </xf>
    <xf numFmtId="0" fontId="0" fillId="0" borderId="22" xfId="0" applyFill="1" applyBorder="1" applyAlignment="1">
      <alignment horizontal="centerContinuous"/>
    </xf>
    <xf numFmtId="0" fontId="0" fillId="0" borderId="23" xfId="0" applyFill="1" applyBorder="1" applyAlignment="1">
      <alignment horizontal="centerContinuous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centerContinuous" vertical="center" wrapText="1"/>
    </xf>
    <xf numFmtId="0" fontId="3" fillId="0" borderId="0" xfId="0" applyFont="1" applyFill="1" applyBorder="1" applyAlignment="1">
      <alignment horizontal="right" vertical="center"/>
    </xf>
    <xf numFmtId="0" fontId="3" fillId="0" borderId="24" xfId="2" applyFont="1" applyFill="1" applyBorder="1" applyAlignment="1">
      <alignment horizontal="centerContinuous" vertical="center" wrapText="1"/>
    </xf>
    <xf numFmtId="0" fontId="0" fillId="0" borderId="24" xfId="2" applyFont="1" applyFill="1" applyBorder="1" applyAlignment="1">
      <alignment horizontal="right" vertical="center"/>
    </xf>
    <xf numFmtId="228" fontId="6" fillId="0" borderId="16" xfId="0" applyNumberFormat="1" applyFont="1" applyFill="1" applyBorder="1" applyAlignment="1">
      <alignment horizontal="center" vertical="center" wrapText="1"/>
    </xf>
    <xf numFmtId="2" fontId="3" fillId="0" borderId="18" xfId="2" applyNumberFormat="1" applyFont="1" applyFill="1" applyBorder="1" applyAlignment="1">
      <alignment horizontal="centerContinuous" vertical="center"/>
    </xf>
    <xf numFmtId="222" fontId="6" fillId="0" borderId="25" xfId="0" applyNumberFormat="1" applyFont="1" applyFill="1" applyBorder="1" applyAlignment="1">
      <alignment horizontal="centerContinuous"/>
    </xf>
    <xf numFmtId="167" fontId="3" fillId="0" borderId="18" xfId="0" applyNumberFormat="1" applyFont="1" applyFill="1" applyBorder="1" applyAlignment="1">
      <alignment horizontal="centerContinuous" vertical="center" wrapText="1"/>
    </xf>
    <xf numFmtId="167" fontId="3" fillId="0" borderId="18" xfId="0" applyNumberFormat="1" applyFont="1" applyFill="1" applyBorder="1" applyAlignment="1">
      <alignment horizontal="center" vertical="center"/>
    </xf>
    <xf numFmtId="227" fontId="6" fillId="0" borderId="25" xfId="0" applyNumberFormat="1" applyFont="1" applyFill="1" applyBorder="1" applyAlignment="1">
      <alignment horizontal="centerContinuous"/>
    </xf>
    <xf numFmtId="0" fontId="3" fillId="0" borderId="21" xfId="2" applyFont="1" applyFill="1" applyBorder="1" applyAlignment="1">
      <alignment vertical="center" wrapText="1"/>
    </xf>
    <xf numFmtId="0" fontId="42" fillId="0" borderId="25" xfId="0" applyNumberFormat="1" applyFont="1" applyFill="1" applyBorder="1" applyAlignment="1">
      <alignment horizontal="centerContinuous"/>
    </xf>
    <xf numFmtId="229" fontId="6" fillId="0" borderId="22" xfId="0" applyNumberFormat="1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38" fillId="0" borderId="25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/>
    </xf>
    <xf numFmtId="167" fontId="0" fillId="0" borderId="23" xfId="0" applyNumberFormat="1" applyFill="1" applyBorder="1" applyAlignment="1">
      <alignment horizontal="center"/>
    </xf>
    <xf numFmtId="165" fontId="3" fillId="0" borderId="22" xfId="7" applyNumberFormat="1" applyFont="1" applyFill="1" applyBorder="1" applyAlignment="1">
      <alignment horizontal="center" vertical="center"/>
    </xf>
    <xf numFmtId="167" fontId="0" fillId="0" borderId="18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Continuous" vertical="center" wrapText="1"/>
    </xf>
    <xf numFmtId="0" fontId="3" fillId="0" borderId="23" xfId="0" applyFont="1" applyFill="1" applyBorder="1" applyAlignment="1">
      <alignment horizontal="centerContinuous" vertical="center" wrapText="1"/>
    </xf>
    <xf numFmtId="0" fontId="14" fillId="0" borderId="22" xfId="0" applyFont="1" applyFill="1" applyBorder="1" applyAlignment="1">
      <alignment horizontal="centerContinuous" vertical="center" wrapText="1"/>
    </xf>
    <xf numFmtId="0" fontId="14" fillId="0" borderId="23" xfId="0" applyFont="1" applyFill="1" applyBorder="1" applyAlignment="1">
      <alignment horizontal="centerContinuous" vertical="center" wrapText="1"/>
    </xf>
    <xf numFmtId="0" fontId="4" fillId="0" borderId="22" xfId="0" applyFont="1" applyFill="1" applyBorder="1" applyAlignment="1">
      <alignment horizontal="centerContinuous" vertical="center" wrapText="1"/>
    </xf>
    <xf numFmtId="0" fontId="4" fillId="0" borderId="27" xfId="0" applyFont="1" applyFill="1" applyBorder="1" applyAlignment="1">
      <alignment horizontal="centerContinuous" vertical="center" wrapText="1"/>
    </xf>
    <xf numFmtId="0" fontId="4" fillId="0" borderId="23" xfId="0" applyFont="1" applyFill="1" applyBorder="1" applyAlignment="1">
      <alignment horizontal="centerContinuous" vertical="center" wrapText="1"/>
    </xf>
    <xf numFmtId="0" fontId="0" fillId="0" borderId="23" xfId="0" applyFill="1" applyBorder="1" applyAlignment="1">
      <alignment horizontal="centerContinuous" vertical="center" wrapText="1"/>
    </xf>
    <xf numFmtId="2" fontId="3" fillId="0" borderId="23" xfId="0" applyNumberFormat="1" applyFont="1" applyFill="1" applyBorder="1" applyAlignment="1">
      <alignment horizontal="center"/>
    </xf>
    <xf numFmtId="231" fontId="3" fillId="0" borderId="26" xfId="0" applyNumberFormat="1" applyFont="1" applyFill="1" applyBorder="1" applyAlignment="1">
      <alignment horizontal="centerContinuous" vertical="center" wrapText="1"/>
    </xf>
    <xf numFmtId="232" fontId="6" fillId="0" borderId="24" xfId="0" applyNumberFormat="1" applyFont="1" applyFill="1" applyBorder="1" applyAlignment="1">
      <alignment horizontal="centerContinuous" vertical="center"/>
    </xf>
    <xf numFmtId="0" fontId="43" fillId="0" borderId="24" xfId="0" applyFont="1" applyFill="1" applyBorder="1" applyAlignment="1">
      <alignment horizontal="center" wrapText="1"/>
    </xf>
    <xf numFmtId="233" fontId="4" fillId="0" borderId="24" xfId="0" applyNumberFormat="1" applyFont="1" applyFill="1" applyBorder="1" applyAlignment="1">
      <alignment horizontal="right"/>
    </xf>
    <xf numFmtId="234" fontId="4" fillId="0" borderId="24" xfId="0" applyNumberFormat="1" applyFont="1" applyFill="1" applyBorder="1" applyAlignment="1">
      <alignment horizontal="right"/>
    </xf>
    <xf numFmtId="0" fontId="3" fillId="0" borderId="22" xfId="0" applyFont="1" applyFill="1" applyBorder="1" applyAlignment="1">
      <alignment horizontal="centerContinuous" vertical="center" wrapText="1" shrinkToFit="1"/>
    </xf>
    <xf numFmtId="0" fontId="14" fillId="0" borderId="23" xfId="0" applyFont="1" applyFill="1" applyBorder="1" applyAlignment="1">
      <alignment horizontal="centerContinuous" vertical="center" wrapText="1" shrinkToFit="1"/>
    </xf>
    <xf numFmtId="0" fontId="2" fillId="0" borderId="22" xfId="2" applyFont="1" applyFill="1" applyBorder="1" applyAlignment="1">
      <alignment horizontal="centerContinuous"/>
    </xf>
    <xf numFmtId="0" fontId="2" fillId="0" borderId="27" xfId="2" applyFont="1" applyFill="1" applyBorder="1" applyAlignment="1">
      <alignment horizontal="centerContinuous"/>
    </xf>
    <xf numFmtId="0" fontId="2" fillId="0" borderId="23" xfId="2" applyFont="1" applyFill="1" applyBorder="1" applyAlignment="1">
      <alignment horizontal="centerContinuous"/>
    </xf>
    <xf numFmtId="0" fontId="2" fillId="0" borderId="22" xfId="2" applyFont="1" applyFill="1" applyBorder="1" applyAlignment="1">
      <alignment horizontal="centerContinuous" vertical="center" wrapText="1"/>
    </xf>
    <xf numFmtId="0" fontId="2" fillId="0" borderId="23" xfId="2" applyFont="1" applyFill="1" applyBorder="1" applyAlignment="1">
      <alignment horizontal="centerContinuous" vertical="center" wrapText="1"/>
    </xf>
    <xf numFmtId="0" fontId="4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left" vertical="center" wrapText="1"/>
    </xf>
    <xf numFmtId="0" fontId="0" fillId="0" borderId="22" xfId="0" applyFill="1" applyBorder="1" applyAlignment="1">
      <alignment horizontal="centerContinuous" wrapText="1"/>
    </xf>
    <xf numFmtId="0" fontId="0" fillId="0" borderId="23" xfId="0" applyFill="1" applyBorder="1" applyAlignment="1">
      <alignment horizontal="centerContinuous" wrapText="1"/>
    </xf>
    <xf numFmtId="0" fontId="4" fillId="0" borderId="0" xfId="2" applyFont="1" applyFill="1" applyBorder="1" applyAlignment="1">
      <alignment horizontal="right"/>
    </xf>
    <xf numFmtId="9" fontId="6" fillId="0" borderId="0" xfId="0" applyNumberFormat="1" applyFont="1" applyFill="1" applyBorder="1" applyAlignment="1">
      <alignment horizontal="left" wrapText="1"/>
    </xf>
    <xf numFmtId="0" fontId="3" fillId="0" borderId="22" xfId="2" applyFont="1" applyFill="1" applyBorder="1" applyAlignment="1">
      <alignment horizontal="centerContinuous"/>
    </xf>
    <xf numFmtId="0" fontId="3" fillId="0" borderId="27" xfId="2" applyFont="1" applyFill="1" applyBorder="1" applyAlignment="1">
      <alignment horizontal="centerContinuous"/>
    </xf>
    <xf numFmtId="0" fontId="3" fillId="0" borderId="23" xfId="2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 vertical="center"/>
    </xf>
    <xf numFmtId="14" fontId="3" fillId="0" borderId="0" xfId="0" applyNumberFormat="1" applyFont="1" applyFill="1" applyBorder="1" applyAlignment="1">
      <alignment horizontal="right"/>
    </xf>
    <xf numFmtId="2" fontId="3" fillId="0" borderId="23" xfId="0" applyNumberFormat="1" applyFont="1" applyFill="1" applyBorder="1" applyAlignment="1">
      <alignment horizontal="center" vertical="center"/>
    </xf>
    <xf numFmtId="2" fontId="3" fillId="0" borderId="23" xfId="2" applyNumberFormat="1" applyFont="1" applyFill="1" applyBorder="1" applyAlignment="1">
      <alignment horizontal="center" vertical="center"/>
    </xf>
    <xf numFmtId="0" fontId="3" fillId="0" borderId="23" xfId="2" applyFont="1" applyFill="1" applyBorder="1" applyAlignment="1">
      <alignment horizontal="center" vertical="center"/>
    </xf>
    <xf numFmtId="176" fontId="3" fillId="0" borderId="22" xfId="2" applyNumberFormat="1" applyFont="1" applyFill="1" applyBorder="1" applyAlignment="1">
      <alignment horizontal="center" vertical="center"/>
    </xf>
    <xf numFmtId="236" fontId="3" fillId="0" borderId="20" xfId="2" applyNumberFormat="1" applyFont="1" applyFill="1" applyBorder="1" applyAlignment="1">
      <alignment horizontal="center"/>
    </xf>
    <xf numFmtId="237" fontId="3" fillId="0" borderId="26" xfId="2" applyNumberFormat="1" applyFont="1" applyFill="1" applyBorder="1" applyAlignment="1">
      <alignment horizontal="center"/>
    </xf>
    <xf numFmtId="2" fontId="3" fillId="0" borderId="18" xfId="2" applyNumberFormat="1" applyFont="1" applyFill="1" applyBorder="1" applyAlignment="1">
      <alignment horizontal="center" vertical="center"/>
    </xf>
    <xf numFmtId="2" fontId="3" fillId="0" borderId="23" xfId="2" applyNumberFormat="1" applyFont="1" applyFill="1" applyBorder="1" applyAlignment="1">
      <alignment horizontal="center"/>
    </xf>
    <xf numFmtId="2" fontId="3" fillId="0" borderId="18" xfId="2" applyNumberFormat="1" applyFont="1" applyFill="1" applyBorder="1" applyAlignment="1">
      <alignment horizontal="center"/>
    </xf>
    <xf numFmtId="0" fontId="3" fillId="0" borderId="23" xfId="2" applyFont="1" applyFill="1" applyBorder="1" applyAlignment="1">
      <alignment horizontal="center"/>
    </xf>
    <xf numFmtId="209" fontId="6" fillId="0" borderId="24" xfId="0" applyNumberFormat="1" applyFont="1" applyFill="1" applyBorder="1" applyAlignment="1">
      <alignment horizontal="centerContinuous"/>
    </xf>
    <xf numFmtId="0" fontId="0" fillId="0" borderId="20" xfId="0" applyFill="1" applyBorder="1" applyAlignment="1">
      <alignment horizontal="center" vertical="center"/>
    </xf>
    <xf numFmtId="235" fontId="6" fillId="0" borderId="26" xfId="0" applyNumberFormat="1" applyFont="1" applyFill="1" applyBorder="1" applyAlignment="1">
      <alignment horizontal="center"/>
    </xf>
    <xf numFmtId="170" fontId="0" fillId="0" borderId="21" xfId="0" applyNumberFormat="1" applyFill="1" applyBorder="1" applyAlignment="1">
      <alignment horizontal="center"/>
    </xf>
    <xf numFmtId="0" fontId="4" fillId="0" borderId="22" xfId="0" applyFont="1" applyFill="1" applyBorder="1" applyAlignment="1">
      <alignment horizontal="centerContinuous" vertical="center"/>
    </xf>
    <xf numFmtId="0" fontId="0" fillId="0" borderId="19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24" xfId="0" applyFont="1" applyFill="1" applyBorder="1" applyAlignment="1">
      <alignment horizontal="centerContinuous" vertical="center"/>
    </xf>
    <xf numFmtId="0" fontId="14" fillId="0" borderId="0" xfId="0" applyFont="1" applyFill="1" applyAlignment="1"/>
    <xf numFmtId="14" fontId="3" fillId="0" borderId="0" xfId="0" applyNumberFormat="1" applyFont="1" applyFill="1" applyAlignment="1">
      <alignment horizontal="left"/>
    </xf>
    <xf numFmtId="0" fontId="3" fillId="0" borderId="21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222" fontId="6" fillId="0" borderId="0" xfId="0" applyNumberFormat="1" applyFont="1" applyFill="1" applyBorder="1" applyAlignment="1">
      <alignment horizontal="centerContinuous" vertical="center"/>
    </xf>
    <xf numFmtId="230" fontId="3" fillId="0" borderId="16" xfId="0" applyNumberFormat="1" applyFont="1" applyFill="1" applyBorder="1" applyAlignment="1">
      <alignment horizontal="centerContinuous" vertical="center" wrapText="1"/>
    </xf>
    <xf numFmtId="2" fontId="3" fillId="0" borderId="16" xfId="0" applyNumberFormat="1" applyFont="1" applyFill="1" applyBorder="1" applyAlignment="1">
      <alignment horizontal="center"/>
    </xf>
    <xf numFmtId="0" fontId="0" fillId="0" borderId="0" xfId="0" applyFill="1" applyAlignment="1"/>
    <xf numFmtId="238" fontId="0" fillId="0" borderId="20" xfId="0" applyNumberFormat="1" applyFill="1" applyBorder="1" applyAlignment="1">
      <alignment horizontal="center"/>
    </xf>
    <xf numFmtId="167" fontId="6" fillId="0" borderId="23" xfId="0" applyNumberFormat="1" applyFont="1" applyFill="1" applyBorder="1" applyAlignment="1">
      <alignment horizontal="center" vertical="center"/>
    </xf>
    <xf numFmtId="239" fontId="6" fillId="0" borderId="23" xfId="2" applyNumberFormat="1" applyFont="1" applyFill="1" applyBorder="1" applyAlignment="1">
      <alignment horizontal="center" vertical="center"/>
    </xf>
    <xf numFmtId="240" fontId="6" fillId="0" borderId="18" xfId="2" applyNumberFormat="1" applyFont="1" applyFill="1" applyBorder="1" applyAlignment="1">
      <alignment horizontal="center" vertical="center"/>
    </xf>
    <xf numFmtId="241" fontId="6" fillId="0" borderId="23" xfId="2" applyNumberFormat="1" applyFont="1" applyFill="1" applyBorder="1" applyAlignment="1">
      <alignment horizontal="center" vertical="center"/>
    </xf>
    <xf numFmtId="242" fontId="6" fillId="0" borderId="18" xfId="2" applyNumberFormat="1" applyFont="1" applyFill="1" applyBorder="1" applyAlignment="1">
      <alignment horizontal="center" vertical="center"/>
    </xf>
    <xf numFmtId="243" fontId="6" fillId="0" borderId="23" xfId="2" applyNumberFormat="1" applyFont="1" applyFill="1" applyBorder="1" applyAlignment="1">
      <alignment horizontal="center" vertical="center"/>
    </xf>
    <xf numFmtId="244" fontId="6" fillId="0" borderId="18" xfId="2" applyNumberFormat="1" applyFont="1" applyFill="1" applyBorder="1" applyAlignment="1">
      <alignment horizontal="center" vertical="center"/>
    </xf>
    <xf numFmtId="245" fontId="3" fillId="0" borderId="23" xfId="2" applyNumberFormat="1" applyFont="1" applyFill="1" applyBorder="1" applyAlignment="1">
      <alignment horizontal="centerContinuous" vertical="center"/>
    </xf>
    <xf numFmtId="246" fontId="3" fillId="0" borderId="23" xfId="2" applyNumberFormat="1" applyFont="1" applyFill="1" applyBorder="1" applyAlignment="1">
      <alignment horizontal="centerContinuous" vertical="center"/>
    </xf>
    <xf numFmtId="247" fontId="3" fillId="0" borderId="18" xfId="0" applyNumberFormat="1" applyFont="1" applyFill="1" applyBorder="1" applyAlignment="1">
      <alignment horizontal="center" vertical="center"/>
    </xf>
    <xf numFmtId="248" fontId="0" fillId="0" borderId="23" xfId="0" applyNumberFormat="1" applyFill="1" applyBorder="1" applyAlignment="1">
      <alignment horizontal="center"/>
    </xf>
    <xf numFmtId="249" fontId="3" fillId="0" borderId="18" xfId="8" applyNumberFormat="1" applyFont="1" applyFill="1" applyBorder="1" applyAlignment="1">
      <alignment horizontal="center" vertical="center" wrapText="1"/>
    </xf>
    <xf numFmtId="250" fontId="3" fillId="0" borderId="18" xfId="2" applyNumberFormat="1" applyFont="1" applyFill="1" applyBorder="1" applyAlignment="1">
      <alignment horizontal="center" vertical="center" wrapText="1"/>
    </xf>
    <xf numFmtId="251" fontId="3" fillId="0" borderId="18" xfId="0" applyNumberFormat="1" applyFont="1" applyFill="1" applyBorder="1" applyAlignment="1">
      <alignment horizontal="center"/>
    </xf>
    <xf numFmtId="252" fontId="3" fillId="0" borderId="18" xfId="0" applyNumberFormat="1" applyFont="1" applyFill="1" applyBorder="1" applyAlignment="1">
      <alignment horizontal="center" vertical="center"/>
    </xf>
    <xf numFmtId="253" fontId="3" fillId="0" borderId="23" xfId="2" applyNumberFormat="1" applyFont="1" applyFill="1" applyBorder="1" applyAlignment="1">
      <alignment horizontal="center"/>
    </xf>
    <xf numFmtId="254" fontId="3" fillId="0" borderId="23" xfId="2" applyNumberFormat="1" applyFont="1" applyFill="1" applyBorder="1" applyAlignment="1">
      <alignment horizontal="center"/>
    </xf>
    <xf numFmtId="255" fontId="3" fillId="0" borderId="23" xfId="2" applyNumberFormat="1" applyFont="1" applyFill="1" applyBorder="1" applyAlignment="1">
      <alignment horizontal="center"/>
    </xf>
    <xf numFmtId="256" fontId="3" fillId="0" borderId="23" xfId="2" applyNumberFormat="1" applyFont="1" applyFill="1" applyBorder="1" applyAlignment="1">
      <alignment horizontal="center"/>
    </xf>
    <xf numFmtId="257" fontId="27" fillId="0" borderId="23" xfId="0" applyNumberFormat="1" applyFont="1" applyFill="1" applyBorder="1" applyAlignment="1">
      <alignment horizontal="center" vertical="top" wrapText="1"/>
    </xf>
    <xf numFmtId="258" fontId="27" fillId="0" borderId="23" xfId="0" applyNumberFormat="1" applyFont="1" applyFill="1" applyBorder="1" applyAlignment="1">
      <alignment horizontal="center" vertical="top" wrapText="1"/>
    </xf>
    <xf numFmtId="259" fontId="27" fillId="0" borderId="23" xfId="0" applyNumberFormat="1" applyFont="1" applyFill="1" applyBorder="1" applyAlignment="1">
      <alignment horizontal="center" vertical="top" wrapText="1"/>
    </xf>
    <xf numFmtId="260" fontId="27" fillId="0" borderId="18" xfId="0" applyNumberFormat="1" applyFont="1" applyFill="1" applyBorder="1" applyAlignment="1">
      <alignment horizontal="center" vertical="top" wrapText="1"/>
    </xf>
    <xf numFmtId="261" fontId="0" fillId="0" borderId="23" xfId="0" applyNumberFormat="1" applyFill="1" applyBorder="1" applyAlignment="1">
      <alignment horizontal="center"/>
    </xf>
    <xf numFmtId="262" fontId="0" fillId="0" borderId="18" xfId="0" applyNumberFormat="1" applyFill="1" applyBorder="1" applyAlignment="1">
      <alignment horizontal="center"/>
    </xf>
    <xf numFmtId="278" fontId="3" fillId="0" borderId="18" xfId="0" applyNumberFormat="1" applyFont="1" applyFill="1" applyBorder="1" applyAlignment="1">
      <alignment horizontal="center"/>
    </xf>
    <xf numFmtId="279" fontId="3" fillId="0" borderId="18" xfId="0" applyNumberFormat="1" applyFont="1" applyFill="1" applyBorder="1" applyAlignment="1">
      <alignment horizontal="center"/>
    </xf>
    <xf numFmtId="0" fontId="6" fillId="0" borderId="27" xfId="0" applyFont="1" applyFill="1" applyBorder="1" applyAlignment="1">
      <alignment horizontal="left"/>
    </xf>
    <xf numFmtId="0" fontId="6" fillId="0" borderId="23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 wrapText="1"/>
    </xf>
    <xf numFmtId="0" fontId="6" fillId="0" borderId="18" xfId="0" applyFont="1" applyFill="1" applyBorder="1" applyAlignment="1">
      <alignment horizontal="left" wrapText="1"/>
    </xf>
    <xf numFmtId="280" fontId="6" fillId="0" borderId="16" xfId="0" applyNumberFormat="1" applyFont="1" applyFill="1" applyBorder="1" applyAlignment="1">
      <alignment horizontal="center"/>
    </xf>
    <xf numFmtId="281" fontId="22" fillId="0" borderId="0" xfId="0" applyNumberFormat="1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0" fillId="0" borderId="22" xfId="0" applyFill="1" applyBorder="1" applyAlignment="1">
      <alignment horizontal="center"/>
    </xf>
    <xf numFmtId="9" fontId="0" fillId="0" borderId="22" xfId="0" applyNumberFormat="1" applyFill="1" applyBorder="1" applyAlignment="1">
      <alignment horizontal="center"/>
    </xf>
    <xf numFmtId="9" fontId="0" fillId="0" borderId="17" xfId="0" applyNumberFormat="1" applyFill="1" applyBorder="1" applyAlignment="1">
      <alignment horizontal="center"/>
    </xf>
    <xf numFmtId="222" fontId="0" fillId="0" borderId="25" xfId="0" applyNumberFormat="1" applyFill="1" applyBorder="1" applyAlignment="1">
      <alignment horizontal="center"/>
    </xf>
    <xf numFmtId="282" fontId="0" fillId="0" borderId="26" xfId="0" applyNumberFormat="1" applyFill="1" applyBorder="1" applyAlignment="1">
      <alignment horizontal="center"/>
    </xf>
    <xf numFmtId="283" fontId="3" fillId="0" borderId="23" xfId="0" applyNumberFormat="1" applyFont="1" applyFill="1" applyBorder="1" applyAlignment="1">
      <alignment horizontal="left" indent="2"/>
    </xf>
    <xf numFmtId="284" fontId="3" fillId="0" borderId="23" xfId="0" applyNumberFormat="1" applyFont="1" applyFill="1" applyBorder="1" applyAlignment="1">
      <alignment horizontal="left" indent="2"/>
    </xf>
    <xf numFmtId="285" fontId="0" fillId="0" borderId="23" xfId="0" applyNumberFormat="1" applyFill="1" applyBorder="1" applyAlignment="1">
      <alignment horizontal="left" indent="2"/>
    </xf>
    <xf numFmtId="286" fontId="0" fillId="0" borderId="18" xfId="0" applyNumberFormat="1" applyFill="1" applyBorder="1" applyAlignment="1">
      <alignment horizontal="left" indent="2"/>
    </xf>
    <xf numFmtId="0" fontId="0" fillId="0" borderId="18" xfId="0" applyFill="1" applyBorder="1" applyAlignment="1">
      <alignment horizontal="center"/>
    </xf>
    <xf numFmtId="2" fontId="0" fillId="0" borderId="17" xfId="0" applyNumberFormat="1" applyFill="1" applyBorder="1" applyAlignment="1">
      <alignment horizontal="center"/>
    </xf>
    <xf numFmtId="287" fontId="0" fillId="0" borderId="26" xfId="0" applyNumberFormat="1" applyFill="1" applyBorder="1" applyAlignment="1">
      <alignment horizontal="center"/>
    </xf>
    <xf numFmtId="288" fontId="0" fillId="0" borderId="25" xfId="0" applyNumberFormat="1" applyFill="1" applyBorder="1" applyAlignment="1">
      <alignment horizontal="center"/>
    </xf>
    <xf numFmtId="14" fontId="22" fillId="0" borderId="0" xfId="0" applyNumberFormat="1" applyFont="1" applyFill="1" applyAlignment="1">
      <alignment horizontal="right"/>
    </xf>
    <xf numFmtId="0" fontId="6" fillId="0" borderId="16" xfId="0" applyFont="1" applyFill="1" applyBorder="1" applyAlignment="1">
      <alignment horizontal="centerContinuous" vertical="center" wrapText="1"/>
    </xf>
    <xf numFmtId="0" fontId="22" fillId="0" borderId="16" xfId="0" applyFont="1" applyFill="1" applyBorder="1" applyAlignment="1">
      <alignment horizontal="centerContinuous" vertical="center"/>
    </xf>
    <xf numFmtId="0" fontId="6" fillId="0" borderId="27" xfId="0" applyFont="1" applyFill="1" applyBorder="1" applyAlignment="1">
      <alignment horizontal="center" wrapText="1"/>
    </xf>
    <xf numFmtId="265" fontId="6" fillId="0" borderId="23" xfId="0" applyNumberFormat="1" applyFont="1" applyFill="1" applyBorder="1" applyAlignment="1">
      <alignment horizontal="center" vertical="center"/>
    </xf>
    <xf numFmtId="266" fontId="6" fillId="0" borderId="23" xfId="0" applyNumberFormat="1" applyFont="1" applyFill="1" applyBorder="1" applyAlignment="1">
      <alignment horizontal="center" vertical="center"/>
    </xf>
    <xf numFmtId="263" fontId="6" fillId="0" borderId="19" xfId="0" applyNumberFormat="1" applyFont="1" applyFill="1" applyBorder="1" applyAlignment="1">
      <alignment horizontal="center" wrapText="1"/>
    </xf>
    <xf numFmtId="267" fontId="6" fillId="0" borderId="23" xfId="0" applyNumberFormat="1" applyFont="1" applyFill="1" applyBorder="1" applyAlignment="1">
      <alignment horizontal="center" vertical="center"/>
    </xf>
    <xf numFmtId="268" fontId="6" fillId="0" borderId="23" xfId="0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/>
    </xf>
    <xf numFmtId="269" fontId="6" fillId="0" borderId="23" xfId="0" applyNumberFormat="1" applyFont="1" applyFill="1" applyBorder="1" applyAlignment="1">
      <alignment horizontal="center" vertical="center"/>
    </xf>
    <xf numFmtId="270" fontId="6" fillId="0" borderId="23" xfId="0" applyNumberFormat="1" applyFont="1" applyFill="1" applyBorder="1" applyAlignment="1">
      <alignment horizontal="center" vertical="center"/>
    </xf>
    <xf numFmtId="271" fontId="6" fillId="0" borderId="23" xfId="0" applyNumberFormat="1" applyFont="1" applyFill="1" applyBorder="1" applyAlignment="1">
      <alignment horizontal="center" vertical="center"/>
    </xf>
    <xf numFmtId="272" fontId="6" fillId="0" borderId="23" xfId="0" applyNumberFormat="1" applyFont="1" applyFill="1" applyBorder="1" applyAlignment="1">
      <alignment horizontal="center" vertical="center"/>
    </xf>
    <xf numFmtId="273" fontId="6" fillId="0" borderId="23" xfId="0" applyNumberFormat="1" applyFont="1" applyFill="1" applyBorder="1" applyAlignment="1">
      <alignment horizontal="center" vertical="center"/>
    </xf>
    <xf numFmtId="274" fontId="6" fillId="0" borderId="23" xfId="0" applyNumberFormat="1" applyFont="1" applyFill="1" applyBorder="1" applyAlignment="1">
      <alignment horizontal="center" vertical="center"/>
    </xf>
    <xf numFmtId="275" fontId="6" fillId="0" borderId="23" xfId="0" applyNumberFormat="1" applyFont="1" applyFill="1" applyBorder="1" applyAlignment="1">
      <alignment horizontal="center" vertical="center"/>
    </xf>
    <xf numFmtId="276" fontId="6" fillId="0" borderId="23" xfId="0" applyNumberFormat="1" applyFont="1" applyFill="1" applyBorder="1" applyAlignment="1">
      <alignment horizontal="center" vertical="center"/>
    </xf>
    <xf numFmtId="277" fontId="6" fillId="0" borderId="23" xfId="0" applyNumberFormat="1" applyFont="1" applyFill="1" applyBorder="1" applyAlignment="1">
      <alignment horizontal="center" vertical="center"/>
    </xf>
    <xf numFmtId="167" fontId="6" fillId="0" borderId="18" xfId="0" applyNumberFormat="1" applyFont="1" applyFill="1" applyBorder="1" applyAlignment="1">
      <alignment horizontal="center" vertical="center"/>
    </xf>
    <xf numFmtId="14" fontId="6" fillId="0" borderId="0" xfId="0" applyNumberFormat="1" applyFont="1" applyFill="1" applyAlignment="1">
      <alignment horizontal="center" vertical="center"/>
    </xf>
    <xf numFmtId="0" fontId="47" fillId="0" borderId="16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vertical="center" wrapText="1"/>
    </xf>
    <xf numFmtId="167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264" fontId="6" fillId="0" borderId="2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247" fontId="6" fillId="0" borderId="18" xfId="0" applyNumberFormat="1" applyFont="1" applyFill="1" applyBorder="1" applyAlignment="1">
      <alignment horizontal="center" vertical="center"/>
    </xf>
    <xf numFmtId="167" fontId="6" fillId="0" borderId="18" xfId="0" applyNumberFormat="1" applyFont="1" applyFill="1" applyBorder="1" applyAlignment="1">
      <alignment horizontal="center" vertical="center" wrapText="1"/>
    </xf>
    <xf numFmtId="280" fontId="6" fillId="0" borderId="0" xfId="0" applyNumberFormat="1" applyFont="1" applyFill="1" applyBorder="1" applyAlignment="1">
      <alignment horizontal="center"/>
    </xf>
    <xf numFmtId="289" fontId="6" fillId="0" borderId="22" xfId="0" applyNumberFormat="1" applyFont="1" applyFill="1" applyBorder="1" applyAlignment="1">
      <alignment horizontal="left"/>
    </xf>
    <xf numFmtId="290" fontId="6" fillId="0" borderId="22" xfId="0" applyNumberFormat="1" applyFont="1" applyFill="1" applyBorder="1" applyAlignment="1">
      <alignment horizontal="left"/>
    </xf>
    <xf numFmtId="291" fontId="6" fillId="0" borderId="22" xfId="0" applyNumberFormat="1" applyFont="1" applyFill="1" applyBorder="1" applyAlignment="1">
      <alignment horizontal="left"/>
    </xf>
    <xf numFmtId="292" fontId="6" fillId="0" borderId="17" xfId="0" applyNumberFormat="1" applyFont="1" applyFill="1" applyBorder="1" applyAlignment="1">
      <alignment horizontal="left"/>
    </xf>
    <xf numFmtId="293" fontId="6" fillId="0" borderId="0" xfId="0" applyNumberFormat="1" applyFont="1" applyFill="1" applyBorder="1" applyAlignment="1">
      <alignment horizontal="right"/>
    </xf>
    <xf numFmtId="294" fontId="6" fillId="0" borderId="0" xfId="0" applyNumberFormat="1" applyFont="1" applyFill="1" applyBorder="1" applyAlignment="1">
      <alignment horizontal="right"/>
    </xf>
    <xf numFmtId="295" fontId="6" fillId="0" borderId="16" xfId="2" applyNumberFormat="1" applyFont="1" applyFill="1" applyBorder="1" applyAlignment="1">
      <alignment horizontal="center" vertical="center"/>
    </xf>
    <xf numFmtId="296" fontId="6" fillId="0" borderId="23" xfId="2" applyNumberFormat="1" applyFont="1" applyFill="1" applyBorder="1" applyAlignment="1">
      <alignment horizontal="center"/>
    </xf>
    <xf numFmtId="185" fontId="37" fillId="0" borderId="0" xfId="11" applyNumberFormat="1" applyFont="1" applyFill="1" applyBorder="1" applyAlignment="1">
      <alignment horizontal="right" vertical="center"/>
    </xf>
    <xf numFmtId="165" fontId="37" fillId="0" borderId="0" xfId="11" applyNumberFormat="1" applyFont="1" applyFill="1" applyBorder="1" applyAlignment="1">
      <alignment horizontal="center"/>
    </xf>
    <xf numFmtId="165" fontId="37" fillId="0" borderId="0" xfId="11" applyNumberFormat="1" applyFont="1" applyFill="1" applyBorder="1"/>
    <xf numFmtId="0" fontId="45" fillId="0" borderId="0" xfId="14" applyFill="1"/>
    <xf numFmtId="9" fontId="45" fillId="0" borderId="16" xfId="14" applyNumberFormat="1" applyFill="1" applyBorder="1" applyAlignment="1">
      <alignment horizontal="center" vertical="center"/>
    </xf>
    <xf numFmtId="0" fontId="0" fillId="0" borderId="23" xfId="0" applyNumberFormat="1" applyFill="1" applyBorder="1" applyAlignment="1">
      <alignment horizontal="center"/>
    </xf>
    <xf numFmtId="297" fontId="3" fillId="0" borderId="0" xfId="0" applyNumberFormat="1" applyFont="1" applyFill="1" applyAlignment="1">
      <alignment horizontal="right"/>
    </xf>
    <xf numFmtId="297" fontId="12" fillId="0" borderId="0" xfId="12" applyNumberFormat="1" applyFont="1" applyFill="1" applyBorder="1" applyAlignment="1">
      <alignment horizontal="right" vertical="center"/>
    </xf>
    <xf numFmtId="0" fontId="6" fillId="0" borderId="37" xfId="0" applyFont="1" applyFill="1" applyBorder="1" applyAlignment="1">
      <alignment horizontal="centerContinuous"/>
    </xf>
    <xf numFmtId="0" fontId="6" fillId="0" borderId="38" xfId="0" applyFont="1" applyFill="1" applyBorder="1" applyAlignment="1">
      <alignment horizontal="centerContinuous"/>
    </xf>
    <xf numFmtId="0" fontId="6" fillId="0" borderId="3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/>
    </xf>
    <xf numFmtId="221" fontId="6" fillId="0" borderId="37" xfId="0" applyNumberFormat="1" applyFont="1" applyFill="1" applyBorder="1" applyAlignment="1">
      <alignment horizontal="center" vertical="center" wrapText="1"/>
    </xf>
    <xf numFmtId="0" fontId="42" fillId="0" borderId="39" xfId="0" applyNumberFormat="1" applyFont="1" applyFill="1" applyBorder="1" applyAlignment="1">
      <alignment horizontal="centerContinuous" vertical="center"/>
    </xf>
    <xf numFmtId="300" fontId="45" fillId="0" borderId="16" xfId="14" applyNumberFormat="1" applyFill="1" applyBorder="1" applyAlignment="1">
      <alignment horizontal="center" vertical="center"/>
    </xf>
    <xf numFmtId="9" fontId="45" fillId="0" borderId="21" xfId="14" applyNumberFormat="1" applyFill="1" applyBorder="1" applyAlignment="1">
      <alignment horizontal="center" vertical="center"/>
    </xf>
    <xf numFmtId="0" fontId="46" fillId="0" borderId="0" xfId="14" applyFont="1" applyFill="1" applyAlignment="1">
      <alignment horizontal="centerContinuous"/>
    </xf>
    <xf numFmtId="0" fontId="45" fillId="0" borderId="0" xfId="14" applyFill="1" applyAlignment="1">
      <alignment horizontal="centerContinuous"/>
    </xf>
    <xf numFmtId="298" fontId="1" fillId="0" borderId="22" xfId="14" applyNumberFormat="1" applyFont="1" applyFill="1" applyBorder="1" applyAlignment="1">
      <alignment horizontal="left" vertical="center" indent="1"/>
    </xf>
    <xf numFmtId="299" fontId="1" fillId="0" borderId="22" xfId="14" applyNumberFormat="1" applyFont="1" applyFill="1" applyBorder="1" applyAlignment="1">
      <alignment horizontal="left" vertical="center" indent="1"/>
    </xf>
    <xf numFmtId="301" fontId="1" fillId="0" borderId="22" xfId="14" applyNumberFormat="1" applyFont="1" applyFill="1" applyBorder="1" applyAlignment="1">
      <alignment horizontal="left" vertical="center" indent="1"/>
    </xf>
    <xf numFmtId="302" fontId="1" fillId="0" borderId="22" xfId="14" applyNumberFormat="1" applyFont="1" applyFill="1" applyBorder="1" applyAlignment="1">
      <alignment horizontal="left" vertical="center" wrapText="1" indent="1"/>
    </xf>
    <xf numFmtId="303" fontId="1" fillId="0" borderId="22" xfId="14" applyNumberFormat="1" applyFont="1" applyFill="1" applyBorder="1" applyAlignment="1">
      <alignment horizontal="left" vertical="center" indent="1"/>
    </xf>
    <xf numFmtId="304" fontId="1" fillId="0" borderId="22" xfId="14" applyNumberFormat="1" applyFont="1" applyFill="1" applyBorder="1" applyAlignment="1">
      <alignment horizontal="left" vertical="center" indent="1"/>
    </xf>
    <xf numFmtId="305" fontId="1" fillId="0" borderId="22" xfId="14" applyNumberFormat="1" applyFont="1" applyFill="1" applyBorder="1" applyAlignment="1">
      <alignment horizontal="left" vertical="center" indent="1"/>
    </xf>
    <xf numFmtId="0" fontId="48" fillId="0" borderId="0" xfId="14" applyFont="1" applyFill="1"/>
    <xf numFmtId="306" fontId="1" fillId="0" borderId="22" xfId="14" applyNumberFormat="1" applyFont="1" applyFill="1" applyBorder="1" applyAlignment="1">
      <alignment horizontal="left" vertical="center" indent="1"/>
    </xf>
    <xf numFmtId="307" fontId="1" fillId="0" borderId="22" xfId="14" applyNumberFormat="1" applyFont="1" applyFill="1" applyBorder="1" applyAlignment="1">
      <alignment horizontal="left" vertical="center" indent="1"/>
    </xf>
    <xf numFmtId="297" fontId="6" fillId="0" borderId="0" xfId="0" applyNumberFormat="1" applyFont="1" applyFill="1" applyBorder="1" applyAlignment="1">
      <alignment horizontal="right" vertical="center"/>
    </xf>
    <xf numFmtId="165" fontId="6" fillId="0" borderId="16" xfId="7" applyNumberFormat="1" applyFont="1" applyFill="1" applyBorder="1" applyAlignment="1">
      <alignment horizontal="center" vertical="center"/>
    </xf>
    <xf numFmtId="165" fontId="12" fillId="0" borderId="17" xfId="7" applyNumberFormat="1" applyFont="1" applyFill="1" applyBorder="1"/>
    <xf numFmtId="165" fontId="37" fillId="0" borderId="26" xfId="7" applyNumberFormat="1" applyFont="1" applyFill="1" applyBorder="1"/>
    <xf numFmtId="165" fontId="37" fillId="0" borderId="25" xfId="7" applyNumberFormat="1" applyFont="1" applyFill="1" applyBorder="1" applyAlignment="1">
      <alignment horizontal="center"/>
    </xf>
    <xf numFmtId="0" fontId="37" fillId="0" borderId="24" xfId="0" applyFont="1" applyFill="1" applyBorder="1" applyAlignment="1">
      <alignment horizontal="right"/>
    </xf>
    <xf numFmtId="0" fontId="34" fillId="0" borderId="24" xfId="0" applyFont="1" applyFill="1" applyBorder="1"/>
    <xf numFmtId="0" fontId="37" fillId="0" borderId="24" xfId="7" applyNumberFormat="1" applyFont="1" applyFill="1" applyBorder="1"/>
    <xf numFmtId="49" fontId="12" fillId="0" borderId="18" xfId="11" applyNumberFormat="1" applyFont="1" applyFill="1" applyBorder="1" applyAlignment="1">
      <alignment horizontal="center"/>
    </xf>
    <xf numFmtId="165" fontId="37" fillId="0" borderId="24" xfId="7" applyNumberFormat="1" applyFont="1" applyFill="1" applyBorder="1"/>
    <xf numFmtId="178" fontId="12" fillId="0" borderId="30" xfId="11" applyNumberFormat="1" applyFont="1" applyFill="1" applyBorder="1" applyAlignment="1">
      <alignment horizontal="center" vertical="center"/>
    </xf>
    <xf numFmtId="308" fontId="29" fillId="0" borderId="25" xfId="7" applyNumberFormat="1" applyFont="1" applyFill="1" applyBorder="1" applyAlignment="1">
      <alignment horizontal="center" vertical="center" wrapText="1"/>
    </xf>
    <xf numFmtId="3" fontId="12" fillId="0" borderId="22" xfId="7" applyNumberFormat="1" applyFont="1" applyFill="1" applyBorder="1" applyAlignment="1"/>
    <xf numFmtId="3" fontId="12" fillId="0" borderId="27" xfId="7" applyNumberFormat="1" applyFont="1" applyFill="1" applyBorder="1" applyAlignment="1">
      <alignment horizontal="center"/>
    </xf>
    <xf numFmtId="3" fontId="12" fillId="0" borderId="22" xfId="7" applyNumberFormat="1" applyFont="1" applyFill="1" applyBorder="1" applyAlignment="1">
      <alignment horizontal="centerContinuous"/>
    </xf>
    <xf numFmtId="3" fontId="12" fillId="0" borderId="23" xfId="7" applyNumberFormat="1" applyFont="1" applyFill="1" applyBorder="1" applyAlignment="1">
      <alignment horizontal="centerContinuous"/>
    </xf>
    <xf numFmtId="165" fontId="12" fillId="0" borderId="18" xfId="7" applyNumberFormat="1" applyFont="1" applyFill="1" applyBorder="1" applyAlignment="1">
      <alignment horizontal="center" vertical="center"/>
    </xf>
    <xf numFmtId="165" fontId="12" fillId="0" borderId="27" xfId="7" applyNumberFormat="1" applyFont="1" applyFill="1" applyBorder="1"/>
    <xf numFmtId="0" fontId="6" fillId="0" borderId="23" xfId="0" applyFont="1" applyFill="1" applyBorder="1"/>
    <xf numFmtId="309" fontId="29" fillId="0" borderId="25" xfId="7" applyNumberFormat="1" applyFont="1" applyFill="1" applyBorder="1" applyAlignment="1">
      <alignment horizontal="center" vertical="center" wrapText="1"/>
    </xf>
    <xf numFmtId="165" fontId="12" fillId="0" borderId="17" xfId="7" applyNumberFormat="1" applyFont="1" applyFill="1" applyBorder="1" applyAlignment="1"/>
    <xf numFmtId="0" fontId="12" fillId="0" borderId="19" xfId="0" applyFont="1" applyFill="1" applyBorder="1" applyAlignment="1">
      <alignment horizontal="right"/>
    </xf>
    <xf numFmtId="0" fontId="19" fillId="0" borderId="19" xfId="0" applyFont="1" applyFill="1" applyBorder="1"/>
    <xf numFmtId="0" fontId="19" fillId="0" borderId="18" xfId="0" applyFont="1" applyFill="1" applyBorder="1"/>
    <xf numFmtId="310" fontId="6" fillId="0" borderId="23" xfId="0" applyNumberFormat="1" applyFont="1" applyFill="1" applyBorder="1" applyAlignment="1">
      <alignment horizontal="center" vertical="center"/>
    </xf>
    <xf numFmtId="311" fontId="6" fillId="0" borderId="23" xfId="0" applyNumberFormat="1" applyFont="1" applyFill="1" applyBorder="1" applyAlignment="1">
      <alignment horizontal="center" vertical="center"/>
    </xf>
    <xf numFmtId="312" fontId="6" fillId="0" borderId="23" xfId="0" applyNumberFormat="1" applyFont="1" applyFill="1" applyBorder="1" applyAlignment="1">
      <alignment horizontal="center" vertical="center"/>
    </xf>
    <xf numFmtId="313" fontId="6" fillId="0" borderId="23" xfId="0" applyNumberFormat="1" applyFont="1" applyFill="1" applyBorder="1" applyAlignment="1">
      <alignment horizontal="center" vertical="center"/>
    </xf>
    <xf numFmtId="314" fontId="6" fillId="0" borderId="23" xfId="0" applyNumberFormat="1" applyFont="1" applyFill="1" applyBorder="1" applyAlignment="1">
      <alignment horizontal="center" vertical="center"/>
    </xf>
    <xf numFmtId="315" fontId="6" fillId="0" borderId="23" xfId="0" applyNumberFormat="1" applyFont="1" applyFill="1" applyBorder="1" applyAlignment="1">
      <alignment horizontal="center" vertical="center"/>
    </xf>
    <xf numFmtId="316" fontId="6" fillId="0" borderId="23" xfId="0" applyNumberFormat="1" applyFont="1" applyFill="1" applyBorder="1" applyAlignment="1">
      <alignment horizontal="center" vertical="center"/>
    </xf>
    <xf numFmtId="317" fontId="6" fillId="0" borderId="23" xfId="0" applyNumberFormat="1" applyFont="1" applyFill="1" applyBorder="1" applyAlignment="1">
      <alignment horizontal="center" vertical="center"/>
    </xf>
    <xf numFmtId="318" fontId="6" fillId="0" borderId="23" xfId="0" applyNumberFormat="1" applyFont="1" applyFill="1" applyBorder="1" applyAlignment="1">
      <alignment horizontal="center" vertical="center"/>
    </xf>
    <xf numFmtId="164" fontId="2" fillId="0" borderId="34" xfId="9" applyNumberFormat="1" applyFill="1" applyBorder="1"/>
    <xf numFmtId="165" fontId="2" fillId="0" borderId="1" xfId="9" applyNumberFormat="1" applyFill="1" applyBorder="1"/>
    <xf numFmtId="165" fontId="2" fillId="0" borderId="34" xfId="9" applyNumberFormat="1" applyFill="1" applyBorder="1"/>
    <xf numFmtId="165" fontId="2" fillId="0" borderId="35" xfId="9" applyNumberFormat="1" applyFill="1" applyBorder="1"/>
    <xf numFmtId="319" fontId="4" fillId="0" borderId="24" xfId="0" applyNumberFormat="1" applyFont="1" applyFill="1" applyBorder="1" applyAlignment="1">
      <alignment horizontal="right"/>
    </xf>
    <xf numFmtId="320" fontId="1" fillId="0" borderId="22" xfId="14" applyNumberFormat="1" applyFont="1" applyFill="1" applyBorder="1" applyAlignment="1">
      <alignment horizontal="left" vertical="center" indent="1"/>
    </xf>
    <xf numFmtId="165" fontId="12" fillId="0" borderId="16" xfId="11" applyNumberFormat="1" applyFont="1" applyFill="1" applyBorder="1"/>
    <xf numFmtId="165" fontId="12" fillId="0" borderId="22" xfId="11" applyNumberFormat="1" applyFont="1" applyFill="1" applyBorder="1"/>
    <xf numFmtId="3" fontId="12" fillId="0" borderId="16" xfId="7" applyNumberFormat="1" applyFont="1" applyFill="1" applyBorder="1" applyAlignment="1">
      <alignment horizontal="center"/>
    </xf>
    <xf numFmtId="3" fontId="12" fillId="0" borderId="16" xfId="10" applyNumberFormat="1" applyFont="1" applyFill="1" applyBorder="1" applyAlignment="1">
      <alignment horizontal="center"/>
    </xf>
    <xf numFmtId="3" fontId="12" fillId="0" borderId="22" xfId="7" applyNumberFormat="1" applyFont="1" applyFill="1" applyBorder="1" applyAlignment="1">
      <alignment horizontal="center"/>
    </xf>
    <xf numFmtId="3" fontId="12" fillId="0" borderId="17" xfId="7" applyNumberFormat="1" applyFont="1" applyFill="1" applyBorder="1" applyAlignment="1">
      <alignment horizontal="center"/>
    </xf>
    <xf numFmtId="3" fontId="6" fillId="0" borderId="16" xfId="0" applyNumberFormat="1" applyFont="1" applyFill="1" applyBorder="1" applyAlignment="1">
      <alignment horizontal="center" vertical="center"/>
    </xf>
    <xf numFmtId="3" fontId="6" fillId="0" borderId="22" xfId="0" applyNumberFormat="1" applyFont="1" applyFill="1" applyBorder="1" applyAlignment="1">
      <alignment horizontal="center" vertical="center"/>
    </xf>
    <xf numFmtId="3" fontId="6" fillId="0" borderId="21" xfId="0" applyNumberFormat="1" applyFont="1" applyFill="1" applyBorder="1" applyAlignment="1">
      <alignment horizontal="center" vertical="center"/>
    </xf>
    <xf numFmtId="3" fontId="6" fillId="0" borderId="17" xfId="0" applyNumberFormat="1" applyFont="1" applyFill="1" applyBorder="1" applyAlignment="1">
      <alignment horizontal="center" vertical="center"/>
    </xf>
    <xf numFmtId="3" fontId="6" fillId="0" borderId="16" xfId="5" applyNumberFormat="1" applyFont="1" applyFill="1" applyBorder="1" applyAlignment="1">
      <alignment horizontal="center" vertical="center"/>
    </xf>
    <xf numFmtId="3" fontId="6" fillId="0" borderId="22" xfId="5" applyNumberFormat="1" applyFont="1" applyFill="1" applyBorder="1" applyAlignment="1">
      <alignment horizontal="center" vertical="center"/>
    </xf>
    <xf numFmtId="3" fontId="6" fillId="0" borderId="21" xfId="5" applyNumberFormat="1" applyFont="1" applyFill="1" applyBorder="1" applyAlignment="1">
      <alignment horizontal="center" vertical="center"/>
    </xf>
    <xf numFmtId="3" fontId="6" fillId="0" borderId="17" xfId="5" applyNumberFormat="1" applyFont="1" applyFill="1" applyBorder="1" applyAlignment="1">
      <alignment horizontal="center" vertical="center"/>
    </xf>
    <xf numFmtId="3" fontId="12" fillId="0" borderId="16" xfId="5" applyNumberFormat="1" applyFont="1" applyFill="1" applyBorder="1" applyAlignment="1">
      <alignment horizontal="center" vertical="center"/>
    </xf>
    <xf numFmtId="3" fontId="12" fillId="0" borderId="22" xfId="5" applyNumberFormat="1" applyFont="1" applyFill="1" applyBorder="1" applyAlignment="1">
      <alignment horizontal="center" vertical="center"/>
    </xf>
    <xf numFmtId="3" fontId="12" fillId="0" borderId="21" xfId="5" applyNumberFormat="1" applyFont="1" applyFill="1" applyBorder="1" applyAlignment="1">
      <alignment horizontal="center" vertical="center"/>
    </xf>
    <xf numFmtId="3" fontId="12" fillId="0" borderId="17" xfId="5" applyNumberFormat="1" applyFont="1" applyFill="1" applyBorder="1" applyAlignment="1">
      <alignment horizontal="center" vertical="center"/>
    </xf>
    <xf numFmtId="14" fontId="6" fillId="0" borderId="0" xfId="0" applyNumberFormat="1" applyFont="1" applyFill="1" applyAlignment="1">
      <alignment vertical="center"/>
    </xf>
    <xf numFmtId="0" fontId="6" fillId="0" borderId="22" xfId="0" applyFont="1" applyFill="1" applyBorder="1" applyAlignment="1">
      <alignment horizontal="center" vertical="center" wrapText="1"/>
    </xf>
    <xf numFmtId="223" fontId="6" fillId="0" borderId="26" xfId="0" applyNumberFormat="1" applyFont="1" applyFill="1" applyBorder="1" applyAlignment="1">
      <alignment horizontal="centerContinuous"/>
    </xf>
    <xf numFmtId="321" fontId="6" fillId="0" borderId="23" xfId="0" applyNumberFormat="1" applyFont="1" applyFill="1" applyBorder="1" applyAlignment="1">
      <alignment horizontal="center" vertical="center"/>
    </xf>
    <xf numFmtId="322" fontId="6" fillId="0" borderId="23" xfId="0" applyNumberFormat="1" applyFont="1" applyFill="1" applyBorder="1" applyAlignment="1">
      <alignment horizontal="center" vertical="center"/>
    </xf>
    <xf numFmtId="323" fontId="6" fillId="0" borderId="23" xfId="0" applyNumberFormat="1" applyFont="1" applyFill="1" applyBorder="1" applyAlignment="1">
      <alignment horizontal="center" vertical="center"/>
    </xf>
    <xf numFmtId="324" fontId="6" fillId="0" borderId="23" xfId="0" applyNumberFormat="1" applyFont="1" applyFill="1" applyBorder="1" applyAlignment="1">
      <alignment horizontal="center" vertical="center"/>
    </xf>
    <xf numFmtId="325" fontId="6" fillId="0" borderId="23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9" fontId="6" fillId="0" borderId="16" xfId="0" applyNumberFormat="1" applyFont="1" applyFill="1" applyBorder="1" applyAlignment="1">
      <alignment horizontal="center" vertical="center"/>
    </xf>
    <xf numFmtId="165" fontId="12" fillId="0" borderId="0" xfId="11" applyNumberFormat="1" applyFont="1" applyFill="1" applyBorder="1" applyAlignment="1">
      <alignment horizontal="center"/>
    </xf>
    <xf numFmtId="165" fontId="17" fillId="0" borderId="16" xfId="11" applyNumberFormat="1" applyFont="1" applyFill="1" applyBorder="1" applyAlignment="1">
      <alignment horizontal="center" vertical="center"/>
    </xf>
    <xf numFmtId="165" fontId="18" fillId="0" borderId="0" xfId="7" applyNumberFormat="1" applyFont="1" applyFill="1" applyBorder="1" applyAlignment="1">
      <alignment horizontal="center" vertical="center"/>
    </xf>
    <xf numFmtId="0" fontId="25" fillId="0" borderId="0" xfId="12" applyFont="1" applyFill="1" applyBorder="1" applyAlignment="1">
      <alignment vertical="center"/>
    </xf>
    <xf numFmtId="0" fontId="39" fillId="0" borderId="0" xfId="12" applyFont="1" applyFill="1" applyBorder="1" applyAlignment="1">
      <alignment horizontal="center" vertical="center"/>
    </xf>
    <xf numFmtId="9" fontId="17" fillId="0" borderId="16" xfId="13" applyFont="1" applyFill="1" applyBorder="1" applyAlignment="1">
      <alignment horizontal="centerContinuous" wrapText="1"/>
    </xf>
    <xf numFmtId="9" fontId="17" fillId="0" borderId="27" xfId="13" applyFont="1" applyFill="1" applyBorder="1" applyAlignment="1">
      <alignment horizontal="centerContinuous" wrapText="1"/>
    </xf>
    <xf numFmtId="9" fontId="17" fillId="0" borderId="23" xfId="13" applyFont="1" applyFill="1" applyBorder="1" applyAlignment="1">
      <alignment horizontal="centerContinuous" wrapText="1"/>
    </xf>
    <xf numFmtId="165" fontId="17" fillId="0" borderId="17" xfId="11" applyNumberFormat="1" applyFont="1" applyFill="1" applyBorder="1" applyAlignment="1">
      <alignment horizontal="center" vertical="center" wrapText="1"/>
    </xf>
    <xf numFmtId="165" fontId="37" fillId="0" borderId="26" xfId="11" applyNumberFormat="1" applyFont="1" applyFill="1" applyBorder="1" applyAlignment="1">
      <alignment horizontal="center" vertical="center" wrapText="1"/>
    </xf>
    <xf numFmtId="165" fontId="37" fillId="0" borderId="25" xfId="11" applyNumberFormat="1" applyFont="1" applyFill="1" applyBorder="1" applyAlignment="1">
      <alignment horizontal="center" vertical="center" wrapText="1"/>
    </xf>
    <xf numFmtId="165" fontId="17" fillId="0" borderId="17" xfId="11" applyNumberFormat="1" applyFont="1" applyFill="1" applyBorder="1" applyAlignment="1">
      <alignment horizontal="center" vertical="top" wrapText="1"/>
    </xf>
    <xf numFmtId="165" fontId="37" fillId="0" borderId="25" xfId="11" applyNumberFormat="1" applyFont="1" applyFill="1" applyBorder="1" applyAlignment="1">
      <alignment horizontal="center" vertical="top" wrapText="1"/>
    </xf>
    <xf numFmtId="165" fontId="12" fillId="0" borderId="17" xfId="11" applyNumberFormat="1" applyFont="1" applyFill="1" applyBorder="1" applyAlignment="1">
      <alignment horizontal="center" vertical="top" wrapText="1"/>
    </xf>
    <xf numFmtId="165" fontId="12" fillId="0" borderId="22" xfId="11" applyNumberFormat="1" applyFont="1" applyFill="1" applyBorder="1" applyAlignment="1">
      <alignment vertical="top"/>
    </xf>
    <xf numFmtId="0" fontId="39" fillId="0" borderId="25" xfId="12" applyFont="1" applyFill="1" applyBorder="1" applyAlignment="1">
      <alignment horizontal="center" vertical="center"/>
    </xf>
    <xf numFmtId="0" fontId="34" fillId="0" borderId="25" xfId="0" applyFont="1" applyFill="1" applyBorder="1"/>
    <xf numFmtId="0" fontId="34" fillId="0" borderId="23" xfId="0" applyFont="1" applyFill="1" applyBorder="1"/>
    <xf numFmtId="165" fontId="12" fillId="0" borderId="18" xfId="11" applyNumberFormat="1" applyFont="1" applyFill="1" applyBorder="1" applyAlignment="1">
      <alignment vertical="top"/>
    </xf>
    <xf numFmtId="165" fontId="12" fillId="0" borderId="40" xfId="11" applyNumberFormat="1" applyFont="1" applyFill="1" applyBorder="1"/>
    <xf numFmtId="165" fontId="37" fillId="0" borderId="40" xfId="11" applyNumberFormat="1" applyFont="1" applyFill="1" applyBorder="1" applyAlignment="1">
      <alignment horizontal="center"/>
    </xf>
    <xf numFmtId="0" fontId="34" fillId="0" borderId="27" xfId="0" applyFont="1" applyFill="1" applyBorder="1"/>
    <xf numFmtId="3" fontId="6" fillId="0" borderId="22" xfId="0" applyNumberFormat="1" applyFont="1" applyFill="1" applyBorder="1" applyAlignment="1">
      <alignment horizontal="center"/>
    </xf>
    <xf numFmtId="3" fontId="6" fillId="0" borderId="17" xfId="0" applyNumberFormat="1" applyFont="1" applyFill="1" applyBorder="1" applyAlignment="1">
      <alignment horizontal="center"/>
    </xf>
    <xf numFmtId="3" fontId="12" fillId="0" borderId="16" xfId="7" applyNumberFormat="1" applyFont="1" applyFill="1" applyBorder="1" applyAlignment="1">
      <alignment horizontal="center" vertical="center"/>
    </xf>
    <xf numFmtId="3" fontId="12" fillId="0" borderId="22" xfId="7" applyNumberFormat="1" applyFont="1" applyFill="1" applyBorder="1" applyAlignment="1">
      <alignment horizontal="center" vertical="center"/>
    </xf>
    <xf numFmtId="3" fontId="12" fillId="0" borderId="21" xfId="7" applyNumberFormat="1" applyFont="1" applyFill="1" applyBorder="1" applyAlignment="1">
      <alignment horizontal="center" vertical="center"/>
    </xf>
    <xf numFmtId="3" fontId="12" fillId="0" borderId="17" xfId="7" applyNumberFormat="1" applyFont="1" applyFill="1" applyBorder="1" applyAlignment="1">
      <alignment horizontal="center" vertical="center"/>
    </xf>
    <xf numFmtId="3" fontId="12" fillId="0" borderId="21" xfId="7" applyNumberFormat="1" applyFont="1" applyFill="1" applyBorder="1" applyAlignment="1">
      <alignment horizontal="center" vertical="center" wrapText="1"/>
    </xf>
    <xf numFmtId="3" fontId="12" fillId="0" borderId="17" xfId="7" applyNumberFormat="1" applyFont="1" applyFill="1" applyBorder="1" applyAlignment="1">
      <alignment horizontal="center" vertical="center" wrapText="1"/>
    </xf>
    <xf numFmtId="165" fontId="12" fillId="0" borderId="21" xfId="7" applyNumberFormat="1" applyFont="1" applyFill="1" applyBorder="1" applyAlignment="1">
      <alignment vertical="center" wrapText="1"/>
    </xf>
    <xf numFmtId="165" fontId="12" fillId="0" borderId="17" xfId="7" applyNumberFormat="1" applyFont="1" applyFill="1" applyBorder="1" applyAlignment="1">
      <alignment vertical="center" wrapText="1"/>
    </xf>
    <xf numFmtId="3" fontId="12" fillId="0" borderId="22" xfId="10" applyNumberFormat="1" applyFont="1" applyFill="1" applyBorder="1" applyAlignment="1">
      <alignment horizontal="center"/>
    </xf>
    <xf numFmtId="3" fontId="12" fillId="0" borderId="20" xfId="7" applyNumberFormat="1" applyFont="1" applyFill="1" applyBorder="1" applyAlignment="1">
      <alignment horizontal="center"/>
    </xf>
    <xf numFmtId="165" fontId="12" fillId="0" borderId="20" xfId="11" applyNumberFormat="1" applyFont="1" applyFill="1" applyBorder="1"/>
    <xf numFmtId="165" fontId="6" fillId="0" borderId="22" xfId="7" applyNumberFormat="1" applyFont="1" applyFill="1" applyBorder="1" applyAlignment="1">
      <alignment horizontal="center" vertical="center"/>
    </xf>
    <xf numFmtId="177" fontId="6" fillId="0" borderId="22" xfId="7" applyNumberFormat="1" applyFont="1" applyFill="1" applyBorder="1" applyAlignment="1">
      <alignment horizontal="center" vertical="center"/>
    </xf>
    <xf numFmtId="177" fontId="6" fillId="0" borderId="17" xfId="7" applyNumberFormat="1" applyFont="1" applyFill="1" applyBorder="1" applyAlignment="1">
      <alignment horizontal="center" vertical="center"/>
    </xf>
    <xf numFmtId="3" fontId="6" fillId="0" borderId="17" xfId="7" applyNumberFormat="1" applyFont="1" applyFill="1" applyBorder="1" applyAlignment="1">
      <alignment horizontal="center" vertical="center"/>
    </xf>
    <xf numFmtId="165" fontId="6" fillId="0" borderId="17" xfId="7" applyNumberFormat="1" applyFont="1" applyFill="1" applyBorder="1" applyAlignment="1">
      <alignment horizontal="center" vertical="center"/>
    </xf>
    <xf numFmtId="165" fontId="6" fillId="0" borderId="22" xfId="0" applyNumberFormat="1" applyFont="1" applyFill="1" applyBorder="1" applyAlignment="1">
      <alignment horizontal="center" vertical="center"/>
    </xf>
    <xf numFmtId="165" fontId="6" fillId="0" borderId="17" xfId="0" applyNumberFormat="1" applyFont="1" applyFill="1" applyBorder="1" applyAlignment="1">
      <alignment horizontal="center" vertical="center"/>
    </xf>
    <xf numFmtId="171" fontId="0" fillId="0" borderId="16" xfId="0" applyNumberFormat="1" applyFill="1" applyBorder="1" applyAlignment="1">
      <alignment horizontal="center"/>
    </xf>
    <xf numFmtId="171" fontId="0" fillId="0" borderId="22" xfId="0" applyNumberFormat="1" applyFill="1" applyBorder="1" applyAlignment="1">
      <alignment horizontal="center"/>
    </xf>
    <xf numFmtId="171" fontId="0" fillId="0" borderId="21" xfId="0" applyNumberFormat="1" applyFill="1" applyBorder="1" applyAlignment="1">
      <alignment horizontal="center"/>
    </xf>
    <xf numFmtId="171" fontId="0" fillId="0" borderId="17" xfId="0" applyNumberFormat="1" applyFill="1" applyBorder="1" applyAlignment="1">
      <alignment horizontal="center"/>
    </xf>
    <xf numFmtId="3" fontId="3" fillId="0" borderId="22" xfId="8" applyNumberFormat="1" applyFont="1" applyFill="1" applyBorder="1" applyAlignment="1">
      <alignment horizontal="center"/>
    </xf>
    <xf numFmtId="176" fontId="3" fillId="0" borderId="16" xfId="2" applyNumberFormat="1" applyFont="1" applyFill="1" applyBorder="1" applyAlignment="1">
      <alignment horizontal="center" vertical="center"/>
    </xf>
    <xf numFmtId="176" fontId="3" fillId="0" borderId="21" xfId="2" applyNumberFormat="1" applyFont="1" applyFill="1" applyBorder="1" applyAlignment="1">
      <alignment horizontal="center" vertical="center"/>
    </xf>
    <xf numFmtId="176" fontId="3" fillId="0" borderId="17" xfId="2" applyNumberFormat="1" applyFont="1" applyFill="1" applyBorder="1" applyAlignment="1">
      <alignment horizontal="center" vertical="center"/>
    </xf>
    <xf numFmtId="3" fontId="3" fillId="0" borderId="22" xfId="7" applyNumberFormat="1" applyFont="1" applyFill="1" applyBorder="1" applyAlignment="1">
      <alignment horizontal="center" vertical="center"/>
    </xf>
    <xf numFmtId="165" fontId="3" fillId="0" borderId="21" xfId="7" applyNumberFormat="1" applyFont="1" applyFill="1" applyBorder="1" applyAlignment="1">
      <alignment horizontal="center" vertical="center"/>
    </xf>
    <xf numFmtId="3" fontId="3" fillId="0" borderId="17" xfId="7" applyNumberFormat="1" applyFont="1" applyFill="1" applyBorder="1" applyAlignment="1">
      <alignment horizontal="center" vertical="center"/>
    </xf>
    <xf numFmtId="165" fontId="3" fillId="0" borderId="17" xfId="7" applyNumberFormat="1" applyFont="1" applyFill="1" applyBorder="1" applyAlignment="1">
      <alignment horizontal="center" vertical="center"/>
    </xf>
    <xf numFmtId="171" fontId="3" fillId="0" borderId="22" xfId="7" applyNumberFormat="1" applyFont="1" applyFill="1" applyBorder="1" applyAlignment="1">
      <alignment horizontal="center"/>
    </xf>
    <xf numFmtId="171" fontId="3" fillId="0" borderId="16" xfId="7" applyNumberFormat="1" applyFont="1" applyFill="1" applyBorder="1" applyAlignment="1">
      <alignment horizontal="center"/>
    </xf>
    <xf numFmtId="171" fontId="3" fillId="0" borderId="21" xfId="7" applyNumberFormat="1" applyFont="1" applyFill="1" applyBorder="1" applyAlignment="1">
      <alignment horizontal="center"/>
    </xf>
    <xf numFmtId="171" fontId="3" fillId="0" borderId="17" xfId="7" applyNumberFormat="1" applyFont="1" applyFill="1" applyBorder="1" applyAlignment="1">
      <alignment horizontal="center"/>
    </xf>
    <xf numFmtId="177" fontId="3" fillId="0" borderId="17" xfId="7" applyNumberFormat="1" applyFont="1" applyFill="1" applyBorder="1" applyAlignment="1">
      <alignment horizontal="center"/>
    </xf>
    <xf numFmtId="177" fontId="49" fillId="0" borderId="17" xfId="7" applyNumberFormat="1" applyFont="1" applyFill="1" applyBorder="1" applyAlignment="1">
      <alignment horizontal="center"/>
    </xf>
    <xf numFmtId="3" fontId="3" fillId="0" borderId="22" xfId="2" applyNumberFormat="1" applyFont="1" applyFill="1" applyBorder="1" applyAlignment="1">
      <alignment horizontal="center" vertical="center" wrapText="1" shrinkToFit="1"/>
    </xf>
    <xf numFmtId="3" fontId="3" fillId="0" borderId="17" xfId="2" applyNumberFormat="1" applyFont="1" applyFill="1" applyBorder="1" applyAlignment="1">
      <alignment horizontal="center" vertical="center" wrapText="1" shrinkToFit="1"/>
    </xf>
    <xf numFmtId="165" fontId="3" fillId="0" borderId="21" xfId="8" applyNumberFormat="1" applyFont="1" applyFill="1" applyBorder="1" applyAlignment="1">
      <alignment horizontal="center" vertical="center" wrapText="1"/>
    </xf>
    <xf numFmtId="3" fontId="3" fillId="0" borderId="17" xfId="8" applyNumberFormat="1" applyFont="1" applyFill="1" applyBorder="1" applyAlignment="1">
      <alignment horizontal="center" vertical="center" wrapText="1"/>
    </xf>
    <xf numFmtId="177" fontId="6" fillId="0" borderId="22" xfId="0" applyNumberFormat="1" applyFont="1" applyFill="1" applyBorder="1" applyAlignment="1">
      <alignment horizontal="centerContinuous" vertical="center"/>
    </xf>
    <xf numFmtId="177" fontId="6" fillId="0" borderId="17" xfId="0" applyNumberFormat="1" applyFont="1" applyFill="1" applyBorder="1" applyAlignment="1">
      <alignment horizontal="centerContinuous" vertical="center"/>
    </xf>
    <xf numFmtId="3" fontId="49" fillId="0" borderId="17" xfId="8" applyNumberFormat="1" applyFont="1" applyFill="1" applyBorder="1" applyAlignment="1">
      <alignment horizontal="center"/>
    </xf>
    <xf numFmtId="2" fontId="49" fillId="0" borderId="18" xfId="2" applyNumberFormat="1" applyFont="1" applyFill="1" applyBorder="1" applyAlignment="1"/>
    <xf numFmtId="326" fontId="0" fillId="0" borderId="26" xfId="0" applyNumberFormat="1" applyFill="1" applyBorder="1" applyAlignment="1">
      <alignment horizontal="center"/>
    </xf>
    <xf numFmtId="165" fontId="12" fillId="0" borderId="0" xfId="11" applyNumberFormat="1" applyFont="1" applyFill="1" applyBorder="1" applyAlignment="1">
      <alignment horizontal="center"/>
    </xf>
    <xf numFmtId="0" fontId="6" fillId="0" borderId="19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9" fontId="6" fillId="0" borderId="21" xfId="0" applyNumberFormat="1" applyFont="1" applyFill="1" applyBorder="1" applyAlignment="1">
      <alignment horizontal="center"/>
    </xf>
    <xf numFmtId="327" fontId="6" fillId="0" borderId="17" xfId="0" applyNumberFormat="1" applyFont="1" applyFill="1" applyBorder="1" applyAlignment="1">
      <alignment horizontal="left"/>
    </xf>
    <xf numFmtId="0" fontId="29" fillId="0" borderId="7" xfId="0" applyFont="1" applyFill="1" applyBorder="1" applyAlignment="1">
      <alignment vertical="center"/>
    </xf>
    <xf numFmtId="0" fontId="6" fillId="0" borderId="22" xfId="2" applyFont="1" applyFill="1" applyBorder="1" applyAlignment="1">
      <alignment horizontal="left" vertical="center" wrapText="1"/>
    </xf>
    <xf numFmtId="0" fontId="6" fillId="0" borderId="27" xfId="2" applyFont="1" applyFill="1" applyBorder="1" applyAlignment="1">
      <alignment horizontal="left" vertical="center" wrapText="1"/>
    </xf>
    <xf numFmtId="0" fontId="6" fillId="0" borderId="23" xfId="2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wrapText="1"/>
    </xf>
    <xf numFmtId="0" fontId="6" fillId="0" borderId="23" xfId="0" applyFont="1" applyFill="1" applyBorder="1" applyAlignment="1">
      <alignment horizontal="left" wrapText="1"/>
    </xf>
    <xf numFmtId="0" fontId="22" fillId="0" borderId="1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6" xfId="2" applyFont="1" applyFill="1" applyBorder="1" applyAlignment="1">
      <alignment horizontal="left" vertical="center" wrapText="1"/>
    </xf>
    <xf numFmtId="0" fontId="47" fillId="0" borderId="22" xfId="0" applyFont="1" applyFill="1" applyBorder="1" applyAlignment="1">
      <alignment horizontal="center" vertical="center" wrapText="1"/>
    </xf>
    <xf numFmtId="0" fontId="47" fillId="0" borderId="2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justify"/>
    </xf>
    <xf numFmtId="9" fontId="6" fillId="0" borderId="16" xfId="0" applyNumberFormat="1" applyFont="1" applyFill="1" applyBorder="1" applyAlignment="1">
      <alignment horizontal="center" vertical="center"/>
    </xf>
    <xf numFmtId="165" fontId="17" fillId="0" borderId="16" xfId="11" applyNumberFormat="1" applyFont="1" applyFill="1" applyBorder="1" applyAlignment="1">
      <alignment horizontal="center" vertical="center"/>
    </xf>
    <xf numFmtId="165" fontId="12" fillId="0" borderId="0" xfId="11" applyNumberFormat="1" applyFont="1" applyFill="1" applyBorder="1" applyAlignment="1">
      <alignment horizontal="center"/>
    </xf>
    <xf numFmtId="165" fontId="17" fillId="0" borderId="16" xfId="11" applyNumberFormat="1" applyFont="1" applyFill="1" applyBorder="1" applyAlignment="1">
      <alignment vertical="center"/>
    </xf>
    <xf numFmtId="165" fontId="29" fillId="0" borderId="21" xfId="7" applyNumberFormat="1" applyFont="1" applyFill="1" applyBorder="1" applyAlignment="1">
      <alignment horizontal="center" vertical="center" wrapText="1"/>
    </xf>
    <xf numFmtId="165" fontId="29" fillId="0" borderId="20" xfId="7" applyNumberFormat="1" applyFont="1" applyFill="1" applyBorder="1" applyAlignment="1">
      <alignment horizontal="center" vertical="center" wrapText="1"/>
    </xf>
    <xf numFmtId="0" fontId="29" fillId="0" borderId="21" xfId="7" applyNumberFormat="1" applyFont="1" applyFill="1" applyBorder="1" applyAlignment="1">
      <alignment horizontal="left" vertical="center" wrapText="1"/>
    </xf>
    <xf numFmtId="0" fontId="29" fillId="0" borderId="29" xfId="7" applyNumberFormat="1" applyFont="1" applyFill="1" applyBorder="1" applyAlignment="1">
      <alignment horizontal="left" vertical="center" wrapText="1"/>
    </xf>
    <xf numFmtId="0" fontId="29" fillId="0" borderId="20" xfId="7" applyNumberFormat="1" applyFont="1" applyFill="1" applyBorder="1" applyAlignment="1">
      <alignment horizontal="left" vertical="center" wrapText="1"/>
    </xf>
    <xf numFmtId="165" fontId="20" fillId="0" borderId="21" xfId="7" applyNumberFormat="1" applyFont="1" applyFill="1" applyBorder="1" applyAlignment="1">
      <alignment horizontal="center" vertical="center" wrapText="1"/>
    </xf>
    <xf numFmtId="165" fontId="20" fillId="0" borderId="20" xfId="7" applyNumberFormat="1" applyFont="1" applyFill="1" applyBorder="1" applyAlignment="1">
      <alignment horizontal="center" vertical="center" wrapText="1"/>
    </xf>
    <xf numFmtId="165" fontId="18" fillId="0" borderId="0" xfId="7" applyNumberFormat="1" applyFont="1" applyFill="1" applyBorder="1" applyAlignment="1">
      <alignment horizontal="center" vertical="center"/>
    </xf>
    <xf numFmtId="165" fontId="18" fillId="0" borderId="11" xfId="7" applyNumberFormat="1" applyFont="1" applyFill="1" applyBorder="1" applyAlignment="1">
      <alignment horizontal="center" vertical="top" wrapText="1"/>
    </xf>
    <xf numFmtId="165" fontId="18" fillId="0" borderId="13" xfId="7" applyNumberFormat="1" applyFont="1" applyFill="1" applyBorder="1" applyAlignment="1">
      <alignment horizontal="center" vertical="top" wrapText="1"/>
    </xf>
    <xf numFmtId="165" fontId="18" fillId="0" borderId="10" xfId="7" applyNumberFormat="1" applyFont="1" applyFill="1" applyBorder="1" applyAlignment="1">
      <alignment horizontal="left" vertical="top" wrapText="1"/>
    </xf>
    <xf numFmtId="165" fontId="18" fillId="0" borderId="11" xfId="7" applyNumberFormat="1" applyFont="1" applyFill="1" applyBorder="1" applyAlignment="1">
      <alignment horizontal="left" vertical="top" wrapText="1"/>
    </xf>
    <xf numFmtId="165" fontId="18" fillId="0" borderId="12" xfId="7" applyNumberFormat="1" applyFont="1" applyFill="1" applyBorder="1" applyAlignment="1">
      <alignment horizontal="left" vertical="top" wrapText="1"/>
    </xf>
    <xf numFmtId="165" fontId="18" fillId="0" borderId="13" xfId="7" applyNumberFormat="1" applyFont="1" applyFill="1" applyBorder="1" applyAlignment="1">
      <alignment horizontal="left" vertical="top" wrapText="1"/>
    </xf>
    <xf numFmtId="165" fontId="18" fillId="0" borderId="14" xfId="7" applyNumberFormat="1" applyFont="1" applyFill="1" applyBorder="1" applyAlignment="1">
      <alignment horizontal="left" vertical="top" wrapText="1"/>
    </xf>
    <xf numFmtId="165" fontId="18" fillId="0" borderId="15" xfId="7" applyNumberFormat="1" applyFont="1" applyFill="1" applyBorder="1" applyAlignment="1">
      <alignment horizontal="left" vertical="top" wrapText="1"/>
    </xf>
    <xf numFmtId="0" fontId="50" fillId="0" borderId="0" xfId="0" applyFont="1" applyFill="1"/>
    <xf numFmtId="0" fontId="51" fillId="0" borderId="0" xfId="0" applyFont="1" applyFill="1"/>
  </cellXfs>
  <cellStyles count="15">
    <cellStyle name="Гиперссылка" xfId="1" builtinId="8"/>
    <cellStyle name="Обычный" xfId="0" builtinId="0"/>
    <cellStyle name="Обычный 2" xfId="12"/>
    <cellStyle name="Обычный 3" xfId="14"/>
    <cellStyle name="Обычный_Базовые цены на специфичную продукцию" xfId="2"/>
    <cellStyle name="Обычный_Лист1" xfId="3"/>
    <cellStyle name="Обычный_Общего назначения сентябрь 2007" xfId="4"/>
    <cellStyle name="Обычный_Сборник цен 2009 12" xfId="5"/>
    <cellStyle name="Процентный" xfId="6" builtinId="5"/>
    <cellStyle name="Процентный 2" xfId="13"/>
    <cellStyle name="Финансовый" xfId="7" builtinId="3"/>
    <cellStyle name="Финансовый 2" xfId="11"/>
    <cellStyle name="Финансовый_Базовые цены на специфичную продукцию" xfId="8"/>
    <cellStyle name="Финансовый_Общего назначения сентябрь 2007" xfId="9"/>
    <cellStyle name="Финансовый_Сборник цен 2009 12" xfId="10"/>
  </cellStyles>
  <dxfs count="68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16" formatCode="&quot;ø&quot;0;\-0;;&quot;ø&quot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16" formatCode="&quot;ø&quot;0;\-0;;&quot;ø&quot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16" formatCode="&quot;ø&quot;0;\-0;;&quot;ø&quot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16" formatCode="&quot;ø&quot;0;\-0;;&quot;ø&quot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16" formatCode="&quot;ø&quot;0;\-0;;&quot;ø&quot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z val="11"/>
        <name val="Arial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z val="11"/>
        <name val="Arial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z val="11"/>
        <name val="Arial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z val="11"/>
        <name val="Arial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/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vertAlign val="baseline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ont>
        <strike val="0"/>
        <outline val="0"/>
        <shadow val="0"/>
        <vertAlign val="baseline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00" formatCode="0;\-0;;&quot;гальваническое оцинкование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00" formatCode="0;\-0;;&quot;гальваническое оцинкование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vertAlign val="baseline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vertAlign val="baseline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left style="hair">
          <color auto="1"/>
        </left>
        <right style="hair">
          <color auto="1"/>
        </right>
        <bottom style="hair">
          <color auto="1"/>
        </bottom>
      </border>
    </dxf>
    <dxf>
      <font>
        <strike val="0"/>
        <outline val="0"/>
        <shadow val="0"/>
        <vertAlign val="baseline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vertAlign val="baseline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auto="1"/>
        </right>
        <top/>
        <bottom style="hair">
          <color auto="1"/>
        </bottom>
      </border>
    </dxf>
    <dxf>
      <border outline="0">
        <left style="hair">
          <color auto="1"/>
        </left>
        <right style="hair">
          <color auto="1"/>
        </right>
        <bottom style="hair">
          <color auto="1"/>
        </bottom>
      </border>
    </dxf>
    <dxf>
      <font>
        <strike val="0"/>
        <outline val="0"/>
        <shadow val="0"/>
        <vertAlign val="baseline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auto="1"/>
        </right>
        <top/>
        <bottom style="hair">
          <color auto="1"/>
        </bottom>
      </border>
    </dxf>
    <dxf>
      <border outline="0">
        <left style="hair">
          <color auto="1"/>
        </left>
        <right style="hair">
          <color auto="1"/>
        </right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/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/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/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/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/>
      </border>
    </dxf>
    <dxf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/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left style="hair">
          <color auto="1"/>
        </left>
        <right style="hair">
          <color auto="1"/>
        </right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Cyr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left style="hair">
          <color auto="1"/>
        </left>
      </border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left style="hair">
          <color auto="1"/>
        </left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Cyr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border outline="0">
        <left style="hair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Cyr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Cyr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border outline="0">
        <left style="hair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Cyr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border outline="0">
        <left style="hair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/>
        <top style="thin">
          <color indexed="23"/>
        </top>
        <bottom style="thin">
          <color indexed="23"/>
        </bottom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top style="thin">
          <color indexed="23"/>
        </top>
      </border>
    </dxf>
    <dxf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23"/>
        </bottom>
      </border>
    </dxf>
    <dxf>
      <fill>
        <patternFill patternType="none">
          <fgColor indexed="64"/>
          <bgColor auto="1"/>
        </patternFill>
      </fill>
    </dxf>
    <dxf>
      <numFmt numFmtId="164" formatCode="_-* #,##0.00_р_._-;\-* #,##0.0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/>
        <top style="thin">
          <color indexed="23"/>
        </top>
        <bottom style="thin">
          <color indexed="23"/>
        </bottom>
      </border>
    </dxf>
    <dxf>
      <numFmt numFmtId="164" formatCode="_-* #,##0.00_р_._-;\-* #,##0.0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top style="thin">
          <color indexed="23"/>
        </top>
      </border>
    </dxf>
    <dxf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23"/>
        </bottom>
      </border>
    </dxf>
    <dxf>
      <fill>
        <patternFill patternType="none">
          <fgColor indexed="64"/>
          <bgColor auto="1"/>
        </patternFill>
      </fill>
    </dxf>
    <dxf>
      <numFmt numFmtId="164" formatCode="_-* #,##0.00_р_._-;\-* #,##0.0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/>
        <top style="thin">
          <color indexed="23"/>
        </top>
        <bottom style="thin">
          <color indexed="23"/>
        </bottom>
      </border>
    </dxf>
    <dxf>
      <numFmt numFmtId="164" formatCode="_-* #,##0.00_р_._-;\-* #,##0.0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top style="thin">
          <color indexed="23"/>
        </top>
      </border>
    </dxf>
    <dxf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23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3"/>
        </left>
        <right/>
        <top style="thin">
          <color indexed="2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3"/>
        </left>
        <right/>
        <top style="thin">
          <color indexed="2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23"/>
        </right>
        <top style="thin">
          <color indexed="23"/>
        </top>
        <bottom/>
      </border>
    </dxf>
    <dxf>
      <border outline="0">
        <top style="thin">
          <color indexed="23"/>
        </top>
      </border>
    </dxf>
    <dxf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3"/>
        </left>
        <right/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top style="thin">
          <color indexed="23"/>
        </top>
      </border>
    </dxf>
    <dxf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3"/>
        </left>
        <right/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 patternType="none">
          <fgColor indexed="64"/>
          <bgColor auto="1"/>
        </patternFill>
      </fill>
    </dxf>
    <dxf>
      <border outline="0">
        <top style="thin">
          <color indexed="23"/>
        </top>
      </border>
    </dxf>
    <dxf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3"/>
        </left>
        <right/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top style="thin">
          <color indexed="23"/>
        </top>
      </border>
    </dxf>
    <dxf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3"/>
        </left>
        <right/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top style="thin">
          <color indexed="23"/>
        </top>
      </border>
    </dxf>
    <dxf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2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23"/>
        </right>
        <top style="thin">
          <color indexed="2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3"/>
        </left>
        <right/>
        <top style="thin">
          <color indexed="2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23"/>
        </top>
        <bottom/>
      </border>
    </dxf>
    <dxf>
      <border outline="0">
        <top style="thin">
          <color indexed="23"/>
        </top>
      </border>
    </dxf>
    <dxf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3"/>
        </left>
        <right/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top style="thin">
          <color indexed="23"/>
        </top>
      </border>
    </dxf>
    <dxf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23"/>
        </bottom>
      </border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name val="Arial"/>
        <scheme val="none"/>
      </font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3"/>
        </left>
        <right/>
        <top style="thin">
          <color indexed="23"/>
        </top>
        <bottom style="thin">
          <color indexed="23"/>
        </bottom>
      </border>
    </dxf>
    <dxf>
      <font>
        <strike val="0"/>
        <outline val="0"/>
        <shadow val="0"/>
        <vertAlign val="baseline"/>
        <name val="Arial"/>
        <scheme val="none"/>
      </font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strike val="0"/>
        <outline val="0"/>
        <shadow val="0"/>
        <vertAlign val="baseline"/>
        <name val="Arial"/>
        <scheme val="none"/>
      </font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top style="thin">
          <color indexed="23"/>
        </top>
      </border>
    </dxf>
    <dxf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strike val="0"/>
        <outline val="0"/>
        <shadow val="0"/>
        <vertAlign val="baseline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23"/>
        </bottom>
      </border>
    </dxf>
    <dxf>
      <font>
        <strike val="0"/>
        <outline val="0"/>
        <shadow val="0"/>
        <vertAlign val="baseline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7" formatCode="#,##0_ ;\-#,##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64" formatCode="&quot;2,0 - 2,5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vertAlign val="baseline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hair">
          <color auto="1"/>
        </top>
        <bottom/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vertAlign val="baseline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ont>
        <strike val="0"/>
        <outline val="0"/>
        <shadow val="0"/>
        <vertAlign val="baseline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vertAlign val="baseline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ont>
        <strike val="0"/>
        <outline val="0"/>
        <shadow val="0"/>
        <vertAlign val="baseline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7" formatCode="#,##0_ ;\-#,##0\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vertAlign val="baseline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vertAlign val="baseline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ont>
        <strike val="0"/>
        <outline val="0"/>
        <shadow val="0"/>
        <vertAlign val="baseline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vertAlign val="baseline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ont>
        <strike val="0"/>
        <outline val="0"/>
        <shadow val="0"/>
        <vertAlign val="baseline"/>
        <name val="Arial"/>
        <scheme val="none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numFmt numFmtId="170" formatCode="#,##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76" formatCode="#,##0;#,##0;\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76" formatCode="#,##0;#,##0;\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7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76" formatCode="#,##0;#,##0;\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77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278" formatCode="&quot;2,5х9,0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auto="1"/>
        </top>
        <bottom/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77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279" formatCode="&quot;2,1х10,0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auto="1"/>
        </top>
        <bottom/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77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328" formatCode="&quot;1,4х10,0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auto="1"/>
        </top>
        <bottom/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77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278" formatCode="&quot;2,5х9,0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auto="1"/>
        </top>
        <bottom/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250" formatCode="&quot; 2,8 х 2,0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hair">
          <color auto="1"/>
        </top>
        <bottom/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249" formatCode="&quot;2,5-2,8 х 2,0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hair">
          <color auto="1"/>
        </top>
        <bottom/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7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7" formatCode="0.0"/>
      <fill>
        <patternFill patternType="none">
          <fgColor indexed="64"/>
          <bgColor auto="1"/>
        </patternFill>
      </fill>
      <alignment horizontal="centerContinuous" vertical="center" textRotation="0" wrapText="1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1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Continuous" vertical="center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7" formatCode="0.0"/>
      <fill>
        <patternFill patternType="none">
          <fgColor indexed="64"/>
          <bgColor auto="1"/>
        </patternFill>
      </fill>
      <alignment horizontal="centerContinuous" vertical="center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1" formatCode="#,##0;\-#,##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</dxfs>
  <tableStyles count="0" defaultPivotStyle="PivotStyleLight16"/>
  <colors>
    <mruColors>
      <color rgb="FFFFFF99"/>
      <color rgb="FF99FFCC"/>
      <color rgb="FF66FF99"/>
      <color rgb="FFCCFFCC"/>
      <color rgb="FFFFFFCC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1</xdr:row>
      <xdr:rowOff>18225</xdr:rowOff>
    </xdr:to>
    <xdr:sp macro="" textlink="">
      <xdr:nvSpPr>
        <xdr:cNvPr id="2" name="TextBox 1"/>
        <xdr:cNvSpPr txBox="1"/>
      </xdr:nvSpPr>
      <xdr:spPr>
        <a:xfrm>
          <a:off x="0" y="0"/>
          <a:ext cx="6715125" cy="504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НАИМЕНОВАНИЕ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ПРОДУКЦИИ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2" name="TextBox 1"/>
        <xdr:cNvSpPr txBox="1"/>
      </xdr:nvSpPr>
      <xdr:spPr>
        <a:xfrm>
          <a:off x="5610225" y="1181100"/>
          <a:ext cx="175260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ctr"/>
        <a:lstStyle/>
        <a:p>
          <a:pPr algn="ctr"/>
          <a:r>
            <a:rPr lang="ru-RU" sz="1100"/>
            <a:t>Череповец, ф-л Орловский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3" name="TextBox 2"/>
        <xdr:cNvSpPr txBox="1"/>
      </xdr:nvSpPr>
      <xdr:spPr>
        <a:xfrm>
          <a:off x="381000" y="695325"/>
          <a:ext cx="819150" cy="819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Диаметр, мм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3" name="TextBox 2"/>
        <xdr:cNvSpPr txBox="1"/>
      </xdr:nvSpPr>
      <xdr:spPr>
        <a:xfrm>
          <a:off x="381000" y="4743450"/>
          <a:ext cx="98107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ru-RU" sz="1100"/>
            <a:t>Размер проволоки, мм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6</xdr:col>
      <xdr:colOff>0</xdr:colOff>
      <xdr:row>29</xdr:row>
      <xdr:rowOff>0</xdr:rowOff>
    </xdr:to>
    <xdr:sp macro="" textlink="">
      <xdr:nvSpPr>
        <xdr:cNvPr id="4" name="TextBox 3"/>
        <xdr:cNvSpPr txBox="1"/>
      </xdr:nvSpPr>
      <xdr:spPr>
        <a:xfrm>
          <a:off x="3638550" y="4743450"/>
          <a:ext cx="7524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ru-RU" sz="1100"/>
            <a:t>Диаметр, мм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15</xdr:row>
      <xdr:rowOff>0</xdr:rowOff>
    </xdr:from>
    <xdr:to>
      <xdr:col>8</xdr:col>
      <xdr:colOff>0</xdr:colOff>
      <xdr:row>16</xdr:row>
      <xdr:rowOff>47625</xdr:rowOff>
    </xdr:to>
    <xdr:sp macro="" textlink="">
      <xdr:nvSpPr>
        <xdr:cNvPr id="3" name="TextBox 2"/>
        <xdr:cNvSpPr txBox="1"/>
      </xdr:nvSpPr>
      <xdr:spPr>
        <a:xfrm>
          <a:off x="4143375" y="2819400"/>
          <a:ext cx="266700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24000" tIns="0" rIns="0" bIns="0" rtlCol="0" anchor="ctr"/>
        <a:lstStyle/>
        <a:p>
          <a:pPr algn="l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Приплаты для ГОСТ 17305-91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5</xdr:col>
      <xdr:colOff>0</xdr:colOff>
      <xdr:row>26</xdr:row>
      <xdr:rowOff>0</xdr:rowOff>
    </xdr:to>
    <xdr:sp macro="" textlink="">
      <xdr:nvSpPr>
        <xdr:cNvPr id="2" name="TextBox 1"/>
        <xdr:cNvSpPr txBox="1"/>
      </xdr:nvSpPr>
      <xdr:spPr>
        <a:xfrm>
          <a:off x="381000" y="4762500"/>
          <a:ext cx="4705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0" bIns="0" rtlCol="0" anchor="ctr"/>
        <a:lstStyle/>
        <a:p>
          <a:pPr algn="ctr"/>
          <a:r>
            <a:rPr lang="ru-RU" sz="1200" b="1">
              <a:latin typeface="Arial" panose="020B0604020202020204" pitchFamily="34" charset="0"/>
              <a:cs typeface="Arial" panose="020B0604020202020204" pitchFamily="34" charset="0"/>
            </a:rPr>
            <a:t>Гвозди кровельные ГОСТ 4030-63</a:t>
          </a:r>
        </a:p>
      </xdr:txBody>
    </xdr:sp>
    <xdr:clientData/>
  </xdr:twoCellAnchor>
  <xdr:twoCellAnchor>
    <xdr:from>
      <xdr:col>1</xdr:col>
      <xdr:colOff>0</xdr:colOff>
      <xdr:row>29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4" name="TextBox 3"/>
        <xdr:cNvSpPr txBox="1"/>
      </xdr:nvSpPr>
      <xdr:spPr>
        <a:xfrm>
          <a:off x="381000" y="5514975"/>
          <a:ext cx="4705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0" bIns="0" rtlCol="0" anchor="ctr"/>
        <a:lstStyle/>
        <a:p>
          <a:pPr algn="ctr"/>
          <a:r>
            <a:rPr lang="ru-RU" sz="1200" b="1">
              <a:latin typeface="Arial" panose="020B0604020202020204" pitchFamily="34" charset="0"/>
              <a:cs typeface="Arial" panose="020B0604020202020204" pitchFamily="34" charset="0"/>
            </a:rPr>
            <a:t>Гвозди тарные ГОСТ 4034-63</a:t>
          </a: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6</xdr:col>
      <xdr:colOff>0</xdr:colOff>
      <xdr:row>37</xdr:row>
      <xdr:rowOff>0</xdr:rowOff>
    </xdr:to>
    <xdr:sp macro="" textlink="">
      <xdr:nvSpPr>
        <xdr:cNvPr id="5" name="TextBox 4"/>
        <xdr:cNvSpPr txBox="1"/>
      </xdr:nvSpPr>
      <xdr:spPr>
        <a:xfrm>
          <a:off x="381000" y="6715125"/>
          <a:ext cx="4705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0" bIns="0" rtlCol="0" anchor="ctr"/>
        <a:lstStyle/>
        <a:p>
          <a:pPr algn="ctr"/>
          <a:r>
            <a:rPr lang="ru-RU" sz="1200" b="1">
              <a:latin typeface="Arial" panose="020B0604020202020204" pitchFamily="34" charset="0"/>
              <a:cs typeface="Arial" panose="020B0604020202020204" pitchFamily="34" charset="0"/>
            </a:rPr>
            <a:t>Гвозди винтовые ТУ 14-4-1161-82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5</xdr:col>
      <xdr:colOff>0</xdr:colOff>
      <xdr:row>44</xdr:row>
      <xdr:rowOff>0</xdr:rowOff>
    </xdr:to>
    <xdr:sp macro="" textlink="">
      <xdr:nvSpPr>
        <xdr:cNvPr id="6" name="TextBox 5"/>
        <xdr:cNvSpPr txBox="1"/>
      </xdr:nvSpPr>
      <xdr:spPr>
        <a:xfrm>
          <a:off x="381000" y="7562850"/>
          <a:ext cx="4705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0" bIns="0" rtlCol="0" anchor="ctr"/>
        <a:lstStyle/>
        <a:p>
          <a:pPr algn="ctr"/>
          <a:r>
            <a:rPr lang="ru-RU" sz="1200" b="1">
              <a:latin typeface="Arial" panose="020B0604020202020204" pitchFamily="34" charset="0"/>
              <a:cs typeface="Arial" panose="020B0604020202020204" pitchFamily="34" charset="0"/>
            </a:rPr>
            <a:t>Гвозди шиферные ТУ 14-178-259-2004</a:t>
          </a:r>
        </a:p>
      </xdr:txBody>
    </xdr:sp>
    <xdr:clientData/>
  </xdr:twoCellAnchor>
  <xdr:twoCellAnchor>
    <xdr:from>
      <xdr:col>1</xdr:col>
      <xdr:colOff>0</xdr:colOff>
      <xdr:row>49</xdr:row>
      <xdr:rowOff>0</xdr:rowOff>
    </xdr:from>
    <xdr:to>
      <xdr:col>5</xdr:col>
      <xdr:colOff>0</xdr:colOff>
      <xdr:row>50</xdr:row>
      <xdr:rowOff>0</xdr:rowOff>
    </xdr:to>
    <xdr:sp macro="" textlink="">
      <xdr:nvSpPr>
        <xdr:cNvPr id="7" name="TextBox 6"/>
        <xdr:cNvSpPr txBox="1"/>
      </xdr:nvSpPr>
      <xdr:spPr>
        <a:xfrm>
          <a:off x="381000" y="8572500"/>
          <a:ext cx="4705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0" bIns="0" rtlCol="0" anchor="ctr"/>
        <a:lstStyle/>
        <a:p>
          <a:pPr algn="ctr"/>
          <a:r>
            <a:rPr lang="ru-RU" sz="1200" b="1">
              <a:latin typeface="Arial" panose="020B0604020202020204" pitchFamily="34" charset="0"/>
              <a:cs typeface="Arial" panose="020B0604020202020204" pitchFamily="34" charset="0"/>
            </a:rPr>
            <a:t>Гвозди отделочные  ТУ012</a:t>
          </a:r>
        </a:p>
      </xdr:txBody>
    </xdr:sp>
    <xdr:clientData/>
  </xdr:twoCellAnchor>
  <xdr:twoCellAnchor>
    <xdr:from>
      <xdr:col>1</xdr:col>
      <xdr:colOff>0</xdr:colOff>
      <xdr:row>56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8" name="TextBox 7"/>
        <xdr:cNvSpPr txBox="1"/>
      </xdr:nvSpPr>
      <xdr:spPr>
        <a:xfrm>
          <a:off x="381000" y="9744075"/>
          <a:ext cx="4705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0" bIns="0" rtlCol="0" anchor="ctr"/>
        <a:lstStyle/>
        <a:p>
          <a:pPr algn="ctr"/>
          <a:r>
            <a:rPr lang="ru-RU" sz="1200" b="1">
              <a:latin typeface="Arial" panose="020B0604020202020204" pitchFamily="34" charset="0"/>
              <a:cs typeface="Arial" panose="020B0604020202020204" pitchFamily="34" charset="0"/>
            </a:rPr>
            <a:t>Гвозди формовочные ТУ029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4</xdr:row>
      <xdr:rowOff>19050</xdr:rowOff>
    </xdr:from>
    <xdr:to>
      <xdr:col>9</xdr:col>
      <xdr:colOff>0</xdr:colOff>
      <xdr:row>6</xdr:row>
      <xdr:rowOff>1425</xdr:rowOff>
    </xdr:to>
    <xdr:sp macro="" textlink="">
      <xdr:nvSpPr>
        <xdr:cNvPr id="2" name="TextBox 1"/>
        <xdr:cNvSpPr txBox="1"/>
      </xdr:nvSpPr>
      <xdr:spPr>
        <a:xfrm>
          <a:off x="2133599" y="933450"/>
          <a:ext cx="7924801" cy="572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Болты с шестигранной головкой класса точности В</a:t>
          </a:r>
          <a:endParaRPr lang="ru-RU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9525</xdr:colOff>
      <xdr:row>4</xdr:row>
      <xdr:rowOff>19050</xdr:rowOff>
    </xdr:from>
    <xdr:to>
      <xdr:col>2</xdr:col>
      <xdr:colOff>823125</xdr:colOff>
      <xdr:row>6</xdr:row>
      <xdr:rowOff>1425</xdr:rowOff>
    </xdr:to>
    <xdr:sp macro="" textlink="">
      <xdr:nvSpPr>
        <xdr:cNvPr id="3" name="TextBox 2"/>
        <xdr:cNvSpPr txBox="1"/>
      </xdr:nvSpPr>
      <xdr:spPr>
        <a:xfrm>
          <a:off x="723900" y="933450"/>
          <a:ext cx="1728000" cy="79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r>
            <a:rPr lang="ru-RU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ГОСТ 7798-70, 7796-70,</a:t>
          </a:r>
        </a:p>
        <a:p>
          <a:r>
            <a:rPr lang="ru-RU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ГОСТ Р ИСО 4014-2013, 4017-2013; </a:t>
          </a:r>
          <a:r>
            <a:rPr lang="en-US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DIN 933</a:t>
          </a:r>
          <a:r>
            <a:rPr lang="ru-RU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</a:t>
          </a:r>
          <a:r>
            <a:rPr lang="ru-RU" sz="105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931</a:t>
          </a:r>
          <a:endParaRPr lang="ru-RU" sz="10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9525</xdr:colOff>
      <xdr:row>24</xdr:row>
      <xdr:rowOff>19050</xdr:rowOff>
    </xdr:from>
    <xdr:to>
      <xdr:col>9</xdr:col>
      <xdr:colOff>0</xdr:colOff>
      <xdr:row>26</xdr:row>
      <xdr:rowOff>1425</xdr:rowOff>
    </xdr:to>
    <xdr:sp macro="" textlink="">
      <xdr:nvSpPr>
        <xdr:cNvPr id="8" name="TextBox 7"/>
        <xdr:cNvSpPr txBox="1"/>
      </xdr:nvSpPr>
      <xdr:spPr>
        <a:xfrm>
          <a:off x="2133600" y="4667250"/>
          <a:ext cx="7924800" cy="33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pPr algn="ct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Болты с шестигранной уменьшенной головкой и направляющим подголовком класса точности В</a:t>
          </a:r>
        </a:p>
      </xdr:txBody>
    </xdr:sp>
    <xdr:clientData/>
  </xdr:twoCellAnchor>
  <xdr:twoCellAnchor>
    <xdr:from>
      <xdr:col>1</xdr:col>
      <xdr:colOff>9525</xdr:colOff>
      <xdr:row>24</xdr:row>
      <xdr:rowOff>19050</xdr:rowOff>
    </xdr:from>
    <xdr:to>
      <xdr:col>3</xdr:col>
      <xdr:colOff>1650</xdr:colOff>
      <xdr:row>26</xdr:row>
      <xdr:rowOff>1425</xdr:rowOff>
    </xdr:to>
    <xdr:sp macro="" textlink="">
      <xdr:nvSpPr>
        <xdr:cNvPr id="15" name="TextBox 14"/>
        <xdr:cNvSpPr txBox="1"/>
      </xdr:nvSpPr>
      <xdr:spPr>
        <a:xfrm>
          <a:off x="723900" y="5057775"/>
          <a:ext cx="1735200" cy="33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100" b="1">
              <a:latin typeface="Arial" panose="020B0604020202020204" pitchFamily="34" charset="0"/>
              <a:cs typeface="Arial" panose="020B0604020202020204" pitchFamily="34" charset="0"/>
            </a:rPr>
            <a:t>ГОСТ 7795-70</a:t>
          </a:r>
        </a:p>
      </xdr:txBody>
    </xdr:sp>
    <xdr:clientData/>
  </xdr:twoCellAnchor>
  <xdr:twoCellAnchor>
    <xdr:from>
      <xdr:col>3</xdr:col>
      <xdr:colOff>9525</xdr:colOff>
      <xdr:row>40</xdr:row>
      <xdr:rowOff>28575</xdr:rowOff>
    </xdr:from>
    <xdr:to>
      <xdr:col>5</xdr:col>
      <xdr:colOff>3375</xdr:colOff>
      <xdr:row>42</xdr:row>
      <xdr:rowOff>0</xdr:rowOff>
    </xdr:to>
    <xdr:sp macro="" textlink="">
      <xdr:nvSpPr>
        <xdr:cNvPr id="16" name="TextBox 15"/>
        <xdr:cNvSpPr txBox="1"/>
      </xdr:nvSpPr>
      <xdr:spPr>
        <a:xfrm>
          <a:off x="2466975" y="7705725"/>
          <a:ext cx="2718000" cy="67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Болты с увеличенной полукруглой головкой и усом класса  точности С</a:t>
          </a:r>
        </a:p>
      </xdr:txBody>
    </xdr:sp>
    <xdr:clientData/>
  </xdr:twoCellAnchor>
  <xdr:twoCellAnchor>
    <xdr:from>
      <xdr:col>1</xdr:col>
      <xdr:colOff>9525</xdr:colOff>
      <xdr:row>40</xdr:row>
      <xdr:rowOff>28575</xdr:rowOff>
    </xdr:from>
    <xdr:to>
      <xdr:col>2</xdr:col>
      <xdr:colOff>823125</xdr:colOff>
      <xdr:row>42</xdr:row>
      <xdr:rowOff>0</xdr:rowOff>
    </xdr:to>
    <xdr:sp macro="" textlink="">
      <xdr:nvSpPr>
        <xdr:cNvPr id="17" name="TextBox 16"/>
        <xdr:cNvSpPr txBox="1"/>
      </xdr:nvSpPr>
      <xdr:spPr>
        <a:xfrm>
          <a:off x="723900" y="7705725"/>
          <a:ext cx="1728000" cy="6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100" b="1">
              <a:latin typeface="Arial" panose="020B0604020202020204" pitchFamily="34" charset="0"/>
              <a:cs typeface="Arial" panose="020B0604020202020204" pitchFamily="34" charset="0"/>
            </a:rPr>
            <a:t>ГОСТ 7801-81</a:t>
          </a:r>
        </a:p>
      </xdr:txBody>
    </xdr:sp>
    <xdr:clientData/>
  </xdr:twoCellAnchor>
  <xdr:twoCellAnchor>
    <xdr:from>
      <xdr:col>3</xdr:col>
      <xdr:colOff>9525</xdr:colOff>
      <xdr:row>49</xdr:row>
      <xdr:rowOff>19050</xdr:rowOff>
    </xdr:from>
    <xdr:to>
      <xdr:col>9</xdr:col>
      <xdr:colOff>3300</xdr:colOff>
      <xdr:row>50</xdr:row>
      <xdr:rowOff>178800</xdr:rowOff>
    </xdr:to>
    <xdr:sp macro="" textlink="">
      <xdr:nvSpPr>
        <xdr:cNvPr id="18" name="TextBox 17"/>
        <xdr:cNvSpPr txBox="1"/>
      </xdr:nvSpPr>
      <xdr:spPr>
        <a:xfrm>
          <a:off x="2133600" y="9210675"/>
          <a:ext cx="7928100" cy="331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Болты с увеличенной полукруглой головкой и квадратным подголовком класса точности С</a:t>
          </a:r>
        </a:p>
      </xdr:txBody>
    </xdr:sp>
    <xdr:clientData/>
  </xdr:twoCellAnchor>
  <xdr:twoCellAnchor>
    <xdr:from>
      <xdr:col>1</xdr:col>
      <xdr:colOff>9525</xdr:colOff>
      <xdr:row>49</xdr:row>
      <xdr:rowOff>19050</xdr:rowOff>
    </xdr:from>
    <xdr:to>
      <xdr:col>2</xdr:col>
      <xdr:colOff>823125</xdr:colOff>
      <xdr:row>50</xdr:row>
      <xdr:rowOff>178800</xdr:rowOff>
    </xdr:to>
    <xdr:sp macro="" textlink="">
      <xdr:nvSpPr>
        <xdr:cNvPr id="19" name="TextBox 18"/>
        <xdr:cNvSpPr txBox="1"/>
      </xdr:nvSpPr>
      <xdr:spPr>
        <a:xfrm>
          <a:off x="723900" y="9925050"/>
          <a:ext cx="1728000" cy="331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100" b="1">
              <a:latin typeface="Arial" panose="020B0604020202020204" pitchFamily="34" charset="0"/>
              <a:cs typeface="Arial" panose="020B0604020202020204" pitchFamily="34" charset="0"/>
            </a:rPr>
            <a:t>ГОСТ 7802-81</a:t>
          </a:r>
        </a:p>
      </xdr:txBody>
    </xdr:sp>
    <xdr:clientData/>
  </xdr:twoCellAnchor>
  <xdr:twoCellAnchor>
    <xdr:from>
      <xdr:col>3</xdr:col>
      <xdr:colOff>9525</xdr:colOff>
      <xdr:row>56</xdr:row>
      <xdr:rowOff>19050</xdr:rowOff>
    </xdr:from>
    <xdr:to>
      <xdr:col>5</xdr:col>
      <xdr:colOff>3375</xdr:colOff>
      <xdr:row>57</xdr:row>
      <xdr:rowOff>179400</xdr:rowOff>
    </xdr:to>
    <xdr:sp macro="" textlink="">
      <xdr:nvSpPr>
        <xdr:cNvPr id="20" name="TextBox 19"/>
        <xdr:cNvSpPr txBox="1"/>
      </xdr:nvSpPr>
      <xdr:spPr>
        <a:xfrm>
          <a:off x="2466975" y="11363325"/>
          <a:ext cx="2718000" cy="712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pPr algn="l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Болты с увеличенной полукруглой головкой и квадратным подголовком уменьшенной высоты класса точности С</a:t>
          </a:r>
        </a:p>
      </xdr:txBody>
    </xdr:sp>
    <xdr:clientData/>
  </xdr:twoCellAnchor>
  <xdr:twoCellAnchor>
    <xdr:from>
      <xdr:col>1</xdr:col>
      <xdr:colOff>9525</xdr:colOff>
      <xdr:row>56</xdr:row>
      <xdr:rowOff>19050</xdr:rowOff>
    </xdr:from>
    <xdr:to>
      <xdr:col>2</xdr:col>
      <xdr:colOff>823125</xdr:colOff>
      <xdr:row>57</xdr:row>
      <xdr:rowOff>179400</xdr:rowOff>
    </xdr:to>
    <xdr:sp macro="" textlink="">
      <xdr:nvSpPr>
        <xdr:cNvPr id="21" name="TextBox 20"/>
        <xdr:cNvSpPr txBox="1"/>
      </xdr:nvSpPr>
      <xdr:spPr>
        <a:xfrm>
          <a:off x="723900" y="11363325"/>
          <a:ext cx="1728000" cy="712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100" b="1">
              <a:latin typeface="Arial" panose="020B0604020202020204" pitchFamily="34" charset="0"/>
              <a:cs typeface="Arial" panose="020B0604020202020204" pitchFamily="34" charset="0"/>
            </a:rPr>
            <a:t>ТУ1630-016-71915393-2005</a:t>
          </a:r>
        </a:p>
      </xdr:txBody>
    </xdr:sp>
    <xdr:clientData/>
  </xdr:twoCellAnchor>
  <xdr:twoCellAnchor>
    <xdr:from>
      <xdr:col>3</xdr:col>
      <xdr:colOff>9525</xdr:colOff>
      <xdr:row>60</xdr:row>
      <xdr:rowOff>19050</xdr:rowOff>
    </xdr:from>
    <xdr:to>
      <xdr:col>9</xdr:col>
      <xdr:colOff>3300</xdr:colOff>
      <xdr:row>61</xdr:row>
      <xdr:rowOff>178800</xdr:rowOff>
    </xdr:to>
    <xdr:sp macro="" textlink="">
      <xdr:nvSpPr>
        <xdr:cNvPr id="22" name="TextBox 21"/>
        <xdr:cNvSpPr txBox="1"/>
      </xdr:nvSpPr>
      <xdr:spPr>
        <a:xfrm>
          <a:off x="2466975" y="12458700"/>
          <a:ext cx="5299200" cy="331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Болты с потайной головкой и квадратным подголовком класса точности С</a:t>
          </a:r>
        </a:p>
      </xdr:txBody>
    </xdr:sp>
    <xdr:clientData/>
  </xdr:twoCellAnchor>
  <xdr:twoCellAnchor>
    <xdr:from>
      <xdr:col>1</xdr:col>
      <xdr:colOff>9525</xdr:colOff>
      <xdr:row>60</xdr:row>
      <xdr:rowOff>19050</xdr:rowOff>
    </xdr:from>
    <xdr:to>
      <xdr:col>2</xdr:col>
      <xdr:colOff>823125</xdr:colOff>
      <xdr:row>61</xdr:row>
      <xdr:rowOff>178800</xdr:rowOff>
    </xdr:to>
    <xdr:sp macro="" textlink="">
      <xdr:nvSpPr>
        <xdr:cNvPr id="23" name="TextBox 22"/>
        <xdr:cNvSpPr txBox="1"/>
      </xdr:nvSpPr>
      <xdr:spPr>
        <a:xfrm>
          <a:off x="723900" y="12458700"/>
          <a:ext cx="1728000" cy="331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100" b="1">
              <a:latin typeface="Arial" panose="020B0604020202020204" pitchFamily="34" charset="0"/>
              <a:cs typeface="Arial" panose="020B0604020202020204" pitchFamily="34" charset="0"/>
            </a:rPr>
            <a:t>ГОСТ 7786-81</a:t>
          </a:r>
        </a:p>
      </xdr:txBody>
    </xdr:sp>
    <xdr:clientData/>
  </xdr:twoCellAnchor>
  <xdr:twoCellAnchor>
    <xdr:from>
      <xdr:col>3</xdr:col>
      <xdr:colOff>9525</xdr:colOff>
      <xdr:row>68</xdr:row>
      <xdr:rowOff>19050</xdr:rowOff>
    </xdr:from>
    <xdr:to>
      <xdr:col>6</xdr:col>
      <xdr:colOff>1304925</xdr:colOff>
      <xdr:row>69</xdr:row>
      <xdr:rowOff>178800</xdr:rowOff>
    </xdr:to>
    <xdr:sp macro="" textlink="">
      <xdr:nvSpPr>
        <xdr:cNvPr id="24" name="TextBox 23"/>
        <xdr:cNvSpPr txBox="1"/>
      </xdr:nvSpPr>
      <xdr:spPr>
        <a:xfrm>
          <a:off x="2133600" y="13001625"/>
          <a:ext cx="5286375" cy="331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Болты и гайки шестигранные со сферической опорной поверхностью</a:t>
          </a:r>
        </a:p>
      </xdr:txBody>
    </xdr:sp>
    <xdr:clientData/>
  </xdr:twoCellAnchor>
  <xdr:twoCellAnchor>
    <xdr:from>
      <xdr:col>1</xdr:col>
      <xdr:colOff>9525</xdr:colOff>
      <xdr:row>68</xdr:row>
      <xdr:rowOff>19050</xdr:rowOff>
    </xdr:from>
    <xdr:to>
      <xdr:col>2</xdr:col>
      <xdr:colOff>823125</xdr:colOff>
      <xdr:row>69</xdr:row>
      <xdr:rowOff>178800</xdr:rowOff>
    </xdr:to>
    <xdr:sp macro="" textlink="">
      <xdr:nvSpPr>
        <xdr:cNvPr id="25" name="TextBox 24"/>
        <xdr:cNvSpPr txBox="1"/>
      </xdr:nvSpPr>
      <xdr:spPr>
        <a:xfrm>
          <a:off x="723900" y="13896975"/>
          <a:ext cx="1728000" cy="331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100" b="1">
              <a:latin typeface="Arial" panose="020B0604020202020204" pitchFamily="34" charset="0"/>
              <a:cs typeface="Arial" panose="020B0604020202020204" pitchFamily="34" charset="0"/>
            </a:rPr>
            <a:t>ТС 71915393-042-2006</a:t>
          </a:r>
        </a:p>
      </xdr:txBody>
    </xdr:sp>
    <xdr:clientData/>
  </xdr:twoCellAnchor>
  <xdr:twoCellAnchor>
    <xdr:from>
      <xdr:col>3</xdr:col>
      <xdr:colOff>9525</xdr:colOff>
      <xdr:row>77</xdr:row>
      <xdr:rowOff>19050</xdr:rowOff>
    </xdr:from>
    <xdr:to>
      <xdr:col>6</xdr:col>
      <xdr:colOff>1304925</xdr:colOff>
      <xdr:row>79</xdr:row>
      <xdr:rowOff>375</xdr:rowOff>
    </xdr:to>
    <xdr:sp macro="" textlink="">
      <xdr:nvSpPr>
        <xdr:cNvPr id="26" name="TextBox 25"/>
        <xdr:cNvSpPr txBox="1"/>
      </xdr:nvSpPr>
      <xdr:spPr>
        <a:xfrm>
          <a:off x="2133600" y="14258925"/>
          <a:ext cx="5286375" cy="352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Болты с полукруглой головкой и эллиптическим подголовником</a:t>
          </a:r>
        </a:p>
      </xdr:txBody>
    </xdr:sp>
    <xdr:clientData/>
  </xdr:twoCellAnchor>
  <xdr:twoCellAnchor>
    <xdr:from>
      <xdr:col>1</xdr:col>
      <xdr:colOff>9525</xdr:colOff>
      <xdr:row>77</xdr:row>
      <xdr:rowOff>19050</xdr:rowOff>
    </xdr:from>
    <xdr:to>
      <xdr:col>2</xdr:col>
      <xdr:colOff>823125</xdr:colOff>
      <xdr:row>79</xdr:row>
      <xdr:rowOff>375</xdr:rowOff>
    </xdr:to>
    <xdr:sp macro="" textlink="">
      <xdr:nvSpPr>
        <xdr:cNvPr id="27" name="TextBox 26"/>
        <xdr:cNvSpPr txBox="1"/>
      </xdr:nvSpPr>
      <xdr:spPr>
        <a:xfrm>
          <a:off x="390525" y="14478000"/>
          <a:ext cx="1728000" cy="352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100" b="1">
              <a:latin typeface="Arial" panose="020B0604020202020204" pitchFamily="34" charset="0"/>
              <a:cs typeface="Arial" panose="020B0604020202020204" pitchFamily="34" charset="0"/>
            </a:rPr>
            <a:t>ТУ14-178-432-2002</a:t>
          </a:r>
        </a:p>
      </xdr:txBody>
    </xdr:sp>
    <xdr:clientData/>
  </xdr:twoCellAnchor>
  <xdr:twoCellAnchor>
    <xdr:from>
      <xdr:col>1</xdr:col>
      <xdr:colOff>9524</xdr:colOff>
      <xdr:row>81</xdr:row>
      <xdr:rowOff>19050</xdr:rowOff>
    </xdr:from>
    <xdr:to>
      <xdr:col>2</xdr:col>
      <xdr:colOff>823124</xdr:colOff>
      <xdr:row>82</xdr:row>
      <xdr:rowOff>179025</xdr:rowOff>
    </xdr:to>
    <xdr:sp macro="" textlink="">
      <xdr:nvSpPr>
        <xdr:cNvPr id="30" name="TextBox 29"/>
        <xdr:cNvSpPr txBox="1"/>
      </xdr:nvSpPr>
      <xdr:spPr>
        <a:xfrm>
          <a:off x="390524" y="15211425"/>
          <a:ext cx="1728000" cy="350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pPr marL="0" indent="0" algn="ctr"/>
          <a:r>
            <a:rPr lang="ru-RU" sz="11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ГОСТ Р 50274-92,</a:t>
          </a:r>
        </a:p>
        <a:p>
          <a:pPr marL="0" indent="0" algn="ctr"/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DIN EN</a:t>
          </a:r>
          <a:r>
            <a:rPr lang="ru-RU" sz="11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1662</a:t>
          </a:r>
        </a:p>
      </xdr:txBody>
    </xdr:sp>
    <xdr:clientData/>
  </xdr:twoCellAnchor>
  <xdr:twoCellAnchor>
    <xdr:from>
      <xdr:col>1</xdr:col>
      <xdr:colOff>19050</xdr:colOff>
      <xdr:row>90</xdr:row>
      <xdr:rowOff>28576</xdr:rowOff>
    </xdr:from>
    <xdr:to>
      <xdr:col>3</xdr:col>
      <xdr:colOff>3975</xdr:colOff>
      <xdr:row>90</xdr:row>
      <xdr:rowOff>266700</xdr:rowOff>
    </xdr:to>
    <xdr:sp macro="" textlink="">
      <xdr:nvSpPr>
        <xdr:cNvPr id="31" name="TextBox 30"/>
        <xdr:cNvSpPr txBox="1"/>
      </xdr:nvSpPr>
      <xdr:spPr>
        <a:xfrm>
          <a:off x="400050" y="16887826"/>
          <a:ext cx="1728000" cy="2381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DIN</a:t>
          </a:r>
          <a:r>
            <a:rPr lang="ru-RU" sz="1100" b="1" baseline="0">
              <a:latin typeface="Arial" panose="020B0604020202020204" pitchFamily="34" charset="0"/>
              <a:cs typeface="Arial" panose="020B0604020202020204" pitchFamily="34" charset="0"/>
            </a:rPr>
            <a:t> 6921</a:t>
          </a:r>
          <a:r>
            <a:rPr lang="ru-RU" sz="1100" b="1">
              <a:latin typeface="Arial" panose="020B0604020202020204" pitchFamily="34" charset="0"/>
              <a:cs typeface="Arial" panose="020B0604020202020204" pitchFamily="34" charset="0"/>
            </a:rPr>
            <a:t>, </a:t>
          </a:r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DIN EN</a:t>
          </a:r>
          <a:r>
            <a:rPr lang="ru-RU" sz="1100" b="1">
              <a:latin typeface="Arial" panose="020B0604020202020204" pitchFamily="34" charset="0"/>
              <a:cs typeface="Arial" panose="020B0604020202020204" pitchFamily="34" charset="0"/>
            </a:rPr>
            <a:t> 1665</a:t>
          </a:r>
        </a:p>
      </xdr:txBody>
    </xdr:sp>
    <xdr:clientData/>
  </xdr:twoCellAnchor>
  <xdr:twoCellAnchor>
    <xdr:from>
      <xdr:col>3</xdr:col>
      <xdr:colOff>28575</xdr:colOff>
      <xdr:row>90</xdr:row>
      <xdr:rowOff>28575</xdr:rowOff>
    </xdr:from>
    <xdr:to>
      <xdr:col>6</xdr:col>
      <xdr:colOff>1266825</xdr:colOff>
      <xdr:row>90</xdr:row>
      <xdr:rowOff>276224</xdr:rowOff>
    </xdr:to>
    <xdr:sp macro="" textlink="">
      <xdr:nvSpPr>
        <xdr:cNvPr id="32" name="TextBox 31"/>
        <xdr:cNvSpPr txBox="1"/>
      </xdr:nvSpPr>
      <xdr:spPr>
        <a:xfrm>
          <a:off x="2152650" y="16887825"/>
          <a:ext cx="5229225" cy="2476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Болты с шестигранной головкой и фланцем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52</xdr:row>
      <xdr:rowOff>19050</xdr:rowOff>
    </xdr:from>
    <xdr:to>
      <xdr:col>5</xdr:col>
      <xdr:colOff>1174725</xdr:colOff>
      <xdr:row>54</xdr:row>
      <xdr:rowOff>0</xdr:rowOff>
    </xdr:to>
    <xdr:sp macro="" textlink="">
      <xdr:nvSpPr>
        <xdr:cNvPr id="3" name="TextBox 2"/>
        <xdr:cNvSpPr txBox="1"/>
      </xdr:nvSpPr>
      <xdr:spPr>
        <a:xfrm>
          <a:off x="2238375" y="11534775"/>
          <a:ext cx="5889600" cy="34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Болты высокопрочные класса точности В, без покрытия и с термодиффузионным цинковым покрытием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(в</a:t>
          </a:r>
          <a:r>
            <a:rPr lang="ru-RU" sz="105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ременное сопротивление </a:t>
          </a:r>
          <a:endParaRPr lang="ru-RU" sz="1050" b="0">
            <a:effectLst/>
          </a:endParaRPr>
        </a:p>
        <a:p>
          <a:r>
            <a:rPr lang="ru-RU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95 кгс/мм2 (М30)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)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9525</xdr:colOff>
      <xdr:row>33</xdr:row>
      <xdr:rowOff>19050</xdr:rowOff>
    </xdr:from>
    <xdr:to>
      <xdr:col>6</xdr:col>
      <xdr:colOff>825</xdr:colOff>
      <xdr:row>35</xdr:row>
      <xdr:rowOff>1500</xdr:rowOff>
    </xdr:to>
    <xdr:sp macro="" textlink="">
      <xdr:nvSpPr>
        <xdr:cNvPr id="4" name="TextBox 3"/>
        <xdr:cNvSpPr txBox="1"/>
      </xdr:nvSpPr>
      <xdr:spPr>
        <a:xfrm>
          <a:off x="1724025" y="6838950"/>
          <a:ext cx="4715700" cy="896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pPr algn="l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Болты высокопрочные с шестигранной головкой с увеличенным размером под ключ для металлоконструкций, без покрытия и с </a:t>
          </a:r>
          <a:r>
            <a:rPr lang="ru-RU" sz="1100" b="0">
              <a:latin typeface="Arial" panose="020B0604020202020204" pitchFamily="34" charset="0"/>
              <a:cs typeface="Arial" panose="020B0604020202020204" pitchFamily="34" charset="0"/>
            </a:rPr>
            <a:t>термодиффузионным цинковым покрытием (</a:t>
          </a:r>
          <a:r>
            <a:rPr lang="ru-RU" sz="1050" b="0">
              <a:latin typeface="Arial" panose="020B0604020202020204" pitchFamily="34" charset="0"/>
              <a:cs typeface="Arial" panose="020B0604020202020204" pitchFamily="34" charset="0"/>
            </a:rPr>
            <a:t>к</a:t>
          </a:r>
          <a:r>
            <a:rPr lang="ru-RU" sz="105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ласс прочности 10.9 для ГОСТ 52644; временное сопротивление</a:t>
          </a:r>
          <a:r>
            <a:rPr lang="ru-RU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1100 Н/мм2 для ГОСТ 53664, </a:t>
          </a:r>
          <a:r>
            <a:rPr lang="ru-R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110 </a:t>
          </a:r>
          <a:r>
            <a:rPr lang="ru-R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кгс/мм2 для ГОСТ 22353</a:t>
          </a:r>
          <a:r>
            <a:rPr lang="ru-RU" sz="1100" b="0"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</xdr:txBody>
    </xdr:sp>
    <xdr:clientData/>
  </xdr:twoCellAnchor>
  <xdr:twoCellAnchor>
    <xdr:from>
      <xdr:col>1</xdr:col>
      <xdr:colOff>28575</xdr:colOff>
      <xdr:row>33</xdr:row>
      <xdr:rowOff>28575</xdr:rowOff>
    </xdr:from>
    <xdr:to>
      <xdr:col>1</xdr:col>
      <xdr:colOff>1374975</xdr:colOff>
      <xdr:row>35</xdr:row>
      <xdr:rowOff>0</xdr:rowOff>
    </xdr:to>
    <xdr:sp macro="" textlink="">
      <xdr:nvSpPr>
        <xdr:cNvPr id="5" name="TextBox 4"/>
        <xdr:cNvSpPr txBox="1"/>
      </xdr:nvSpPr>
      <xdr:spPr>
        <a:xfrm>
          <a:off x="876300" y="7543800"/>
          <a:ext cx="1346400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100" b="1">
              <a:latin typeface="Arial" panose="020B0604020202020204" pitchFamily="34" charset="0"/>
              <a:cs typeface="Arial" panose="020B0604020202020204" pitchFamily="34" charset="0"/>
            </a:rPr>
            <a:t>ГОСТ Р 52644,</a:t>
          </a:r>
        </a:p>
        <a:p>
          <a:pPr algn="ctr"/>
          <a:r>
            <a:rPr lang="ru-RU" sz="1100" b="1">
              <a:latin typeface="Arial" panose="020B0604020202020204" pitchFamily="34" charset="0"/>
              <a:cs typeface="Arial" panose="020B0604020202020204" pitchFamily="34" charset="0"/>
            </a:rPr>
            <a:t>ГОСТ Р 53664,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ГОСТ 22353</a:t>
          </a:r>
          <a:endParaRPr lang="ru-RU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Box 1"/>
        <xdr:cNvSpPr txBox="1"/>
      </xdr:nvSpPr>
      <xdr:spPr>
        <a:xfrm>
          <a:off x="381000" y="3552825"/>
          <a:ext cx="374332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0" bIns="0" rtlCol="0" anchor="ctr"/>
        <a:lstStyle/>
        <a:p>
          <a:pPr algn="ctr"/>
          <a:r>
            <a:rPr lang="ru-RU" sz="1100"/>
            <a:t>кл. прочности 6, мелкий шаг резьбы по ГОСТ 52628</a:t>
          </a:r>
        </a:p>
      </xdr:txBody>
    </xdr:sp>
    <xdr:clientData/>
  </xdr:twoCellAnchor>
  <xdr:twoCellAnchor>
    <xdr:from>
      <xdr:col>2</xdr:col>
      <xdr:colOff>0</xdr:colOff>
      <xdr:row>46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7" name="TextBox 6"/>
        <xdr:cNvSpPr txBox="1"/>
      </xdr:nvSpPr>
      <xdr:spPr>
        <a:xfrm>
          <a:off x="1762125" y="9448800"/>
          <a:ext cx="472440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36000" bIns="0" rtlCol="0" anchor="ctr"/>
        <a:lstStyle/>
        <a:p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Гайки высокопрочные шестигранные с увеличенным размером под ключ для металлоконструкций, без покрытия и с термодиффузионным цинковым покрытием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(</a:t>
          </a:r>
          <a:r>
            <a:rPr lang="ru-RU" sz="1050" baseline="0">
              <a:latin typeface="+mn-lt"/>
              <a:cs typeface="Arial" panose="020B0604020202020204" pitchFamily="34" charset="0"/>
            </a:rPr>
            <a:t>класс прочности 10 для ГОСТ 52645; прочность 1100 Н/мм2 для ГОСТ 53664,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110 кгс/мм2 для ГОСТ 22354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)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57</xdr:row>
      <xdr:rowOff>0</xdr:rowOff>
    </xdr:from>
    <xdr:to>
      <xdr:col>6</xdr:col>
      <xdr:colOff>0</xdr:colOff>
      <xdr:row>58</xdr:row>
      <xdr:rowOff>0</xdr:rowOff>
    </xdr:to>
    <xdr:sp macro="" textlink="">
      <xdr:nvSpPr>
        <xdr:cNvPr id="8" name="TextBox 7"/>
        <xdr:cNvSpPr txBox="1"/>
      </xdr:nvSpPr>
      <xdr:spPr>
        <a:xfrm>
          <a:off x="1714500" y="12430125"/>
          <a:ext cx="47244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/>
        <a:lstStyle/>
        <a:p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Гайки высокопрочные класса точности В, без покрытия и с термодиффузионным цинковым покрытием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(</a:t>
          </a:r>
          <a:r>
            <a:rPr lang="ru-RU" sz="1050" baseline="0">
              <a:latin typeface="+mn-lt"/>
              <a:cs typeface="Arial" panose="020B0604020202020204" pitchFamily="34" charset="0"/>
            </a:rPr>
            <a:t>временное сопротивление  95 кгс/мм2 (М30)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)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60</xdr:row>
      <xdr:rowOff>0</xdr:rowOff>
    </xdr:from>
    <xdr:to>
      <xdr:col>6</xdr:col>
      <xdr:colOff>0</xdr:colOff>
      <xdr:row>61</xdr:row>
      <xdr:rowOff>0</xdr:rowOff>
    </xdr:to>
    <xdr:sp macro="" textlink="">
      <xdr:nvSpPr>
        <xdr:cNvPr id="9" name="TextBox 8"/>
        <xdr:cNvSpPr txBox="1"/>
      </xdr:nvSpPr>
      <xdr:spPr>
        <a:xfrm>
          <a:off x="1714500" y="13373100"/>
          <a:ext cx="472440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Шайбы к высокопрочным болтам ст.35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19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" name="TextBox 1"/>
        <xdr:cNvSpPr txBox="1"/>
      </xdr:nvSpPr>
      <xdr:spPr>
        <a:xfrm>
          <a:off x="1762125" y="3667125"/>
          <a:ext cx="23907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/>
        <a:lstStyle/>
        <a:p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Заклепки с полукруглой головкой классов точности В и С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3" name="TextBox 2"/>
        <xdr:cNvSpPr txBox="1"/>
      </xdr:nvSpPr>
      <xdr:spPr>
        <a:xfrm>
          <a:off x="1762125" y="5657850"/>
          <a:ext cx="239077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Заклепки с полукруглой головкой по чертежам</a:t>
          </a:r>
        </a:p>
      </xdr:txBody>
    </xdr:sp>
    <xdr:clientData/>
  </xdr:twoCellAnchor>
  <xdr:twoCellAnchor>
    <xdr:from>
      <xdr:col>2</xdr:col>
      <xdr:colOff>0</xdr:colOff>
      <xdr:row>28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4" name="TextBox 3"/>
        <xdr:cNvSpPr txBox="1"/>
      </xdr:nvSpPr>
      <xdr:spPr>
        <a:xfrm>
          <a:off x="1762125" y="6543675"/>
          <a:ext cx="23907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Заклепки с потайной головкой классов точности В и С</a:t>
          </a:r>
        </a:p>
      </xdr:txBody>
    </xdr:sp>
    <xdr:clientData/>
  </xdr:twoCellAnchor>
  <xdr:twoCellAnchor>
    <xdr:from>
      <xdr:col>2</xdr:col>
      <xdr:colOff>0</xdr:colOff>
      <xdr:row>45</xdr:row>
      <xdr:rowOff>0</xdr:rowOff>
    </xdr:from>
    <xdr:to>
      <xdr:col>4</xdr:col>
      <xdr:colOff>0</xdr:colOff>
      <xdr:row>46</xdr:row>
      <xdr:rowOff>0</xdr:rowOff>
    </xdr:to>
    <xdr:sp macro="" textlink="">
      <xdr:nvSpPr>
        <xdr:cNvPr id="5" name="TextBox 4"/>
        <xdr:cNvSpPr txBox="1"/>
      </xdr:nvSpPr>
      <xdr:spPr>
        <a:xfrm>
          <a:off x="1762125" y="8677275"/>
          <a:ext cx="239077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Заклепки с потайной головкой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6" name="TextBox 5"/>
        <xdr:cNvSpPr txBox="1"/>
      </xdr:nvSpPr>
      <xdr:spPr>
        <a:xfrm>
          <a:off x="1657350" y="9629775"/>
          <a:ext cx="23622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Заклепки с полупотайной головкой классов точности В и С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40" name="првГ3282" displayName="првГ3282" ref="B6:I23" totalsRowShown="0" headerRowDxfId="682" dataDxfId="680" headerRowBorderDxfId="681" tableBorderDxfId="679" totalsRowBorderDxfId="678">
  <autoFilter ref="B6:I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диаметр" dataDxfId="677"/>
    <tableColumn id="2" name="БпТнЧ" dataDxfId="676"/>
    <tableColumn id="3" name="БпТнО" dataDxfId="675"/>
    <tableColumn id="4" name="БпТочЧ" dataDxfId="674"/>
    <tableColumn id="5" name="БпТочО" dataDxfId="673"/>
    <tableColumn id="6" name="БпТос" dataDxfId="672"/>
    <tableColumn id="7" name="ОцТн" dataDxfId="671"/>
    <tableColumn id="8" name="ОцТо" dataDxfId="670"/>
  </tableColumns>
  <tableStyleInfo showFirstColumn="0" showLastColumn="0" showRowStripes="0" showColumnStripes="0"/>
</table>
</file>

<file path=xl/tables/table10.xml><?xml version="1.0" encoding="utf-8"?>
<table xmlns="http://schemas.openxmlformats.org/spreadsheetml/2006/main" id="50" name="првГ7480" displayName="првГ7480" ref="B4:C12" totalsRowShown="0" headerRowDxfId="608" dataDxfId="606" headerRowBorderDxfId="607" tableBorderDxfId="605" totalsRowBorderDxfId="604">
  <autoFilter ref="B4:C12">
    <filterColumn colId="0" hiddenButton="1"/>
    <filterColumn colId="1" hiddenButton="1"/>
  </autoFilter>
  <tableColumns count="2">
    <tableColumn id="1" name="диаметр" dataDxfId="603"/>
    <tableColumn id="2" name="цена" dataDxfId="602" dataCellStyle="Финансовый"/>
  </tableColumns>
  <tableStyleInfo showFirstColumn="0" showLastColumn="0" showRowStripes="0" showColumnStripes="0"/>
</table>
</file>

<file path=xl/tables/table11.xml><?xml version="1.0" encoding="utf-8"?>
<table xmlns="http://schemas.openxmlformats.org/spreadsheetml/2006/main" id="52" name="првГ1526" displayName="првГ1526" ref="G4:H11" totalsRowShown="0" headerRowDxfId="601" dataDxfId="599" headerRowBorderDxfId="600" tableBorderDxfId="598" totalsRowBorderDxfId="597">
  <autoFilter ref="G4:H11">
    <filterColumn colId="0" hiddenButton="1"/>
    <filterColumn colId="1" hiddenButton="1"/>
  </autoFilter>
  <tableColumns count="2">
    <tableColumn id="1" name="диаметр" dataDxfId="596" dataCellStyle="Обычный_Базовые цены на специфичную продукцию"/>
    <tableColumn id="2" name="цена" dataDxfId="595" dataCellStyle="Обычный_Базовые цены на специфичную продукцию"/>
  </tableColumns>
  <tableStyleInfo showFirstColumn="0" showLastColumn="0" showRowStripes="0" showColumnStripes="0"/>
</table>
</file>

<file path=xl/tables/table12.xml><?xml version="1.0" encoding="utf-8"?>
<table xmlns="http://schemas.openxmlformats.org/spreadsheetml/2006/main" id="53" name="првГ15892" displayName="првГ15892" ref="B19:C22" totalsRowShown="0" headerRowDxfId="594" dataDxfId="592" headerRowBorderDxfId="593" tableBorderDxfId="591" totalsRowBorderDxfId="590">
  <autoFilter ref="B19:C22">
    <filterColumn colId="0" hiddenButton="1"/>
    <filterColumn colId="1" hiddenButton="1"/>
  </autoFilter>
  <tableColumns count="2">
    <tableColumn id="1" name="диаметр" dataDxfId="589"/>
    <tableColumn id="2" name="цена" dataDxfId="588" dataCellStyle="Финансовый"/>
  </tableColumns>
  <tableStyleInfo showFirstColumn="0" showLastColumn="0" showRowStripes="0" showColumnStripes="0"/>
</table>
</file>

<file path=xl/tables/table13.xml><?xml version="1.0" encoding="utf-8"?>
<table xmlns="http://schemas.openxmlformats.org/spreadsheetml/2006/main" id="54" name="првГ1668" displayName="првГ1668" ref="G19:H23" totalsRowShown="0" headerRowDxfId="587" dataDxfId="585" headerRowBorderDxfId="586" tableBorderDxfId="584" totalsRowBorderDxfId="583">
  <autoFilter ref="G19:H23">
    <filterColumn colId="0" hiddenButton="1"/>
    <filterColumn colId="1" hiddenButton="1"/>
  </autoFilter>
  <tableColumns count="2">
    <tableColumn id="1" name="диаметр" dataDxfId="582"/>
    <tableColumn id="2" name="цена" dataDxfId="581" dataCellStyle="Финансовый"/>
  </tableColumns>
  <tableStyleInfo showFirstColumn="0" showLastColumn="0" showRowStripes="0" showColumnStripes="0"/>
</table>
</file>

<file path=xl/tables/table14.xml><?xml version="1.0" encoding="utf-8"?>
<table xmlns="http://schemas.openxmlformats.org/spreadsheetml/2006/main" id="55" name="првТУ219" displayName="првТУ219" ref="C35:D36" totalsRowShown="0" headerRowDxfId="580" dataDxfId="578" headerRowBorderDxfId="579" tableBorderDxfId="577" totalsRowBorderDxfId="576">
  <autoFilter ref="C35:D36">
    <filterColumn colId="0" hiddenButton="1"/>
    <filterColumn colId="1" hiddenButton="1"/>
  </autoFilter>
  <tableColumns count="2">
    <tableColumn id="1" name="диаметр" dataDxfId="575" dataCellStyle="Финансовый_Базовые цены на специфичную продукцию"/>
    <tableColumn id="2" name="Оц" dataDxfId="574" dataCellStyle="Финансовый_Базовые цены на специфичную продукцию">
      <calculatedColumnFormula>ROUND(79373.45+4300,2)</calculatedColumnFormula>
    </tableColumn>
  </tableColumns>
  <tableStyleInfo showFirstColumn="0" showLastColumn="0" showRowStripes="0" showColumnStripes="0"/>
</table>
</file>

<file path=xl/tables/table15.xml><?xml version="1.0" encoding="utf-8"?>
<table xmlns="http://schemas.openxmlformats.org/spreadsheetml/2006/main" id="56" name="првГ285" displayName="првГ285" ref="B29:D30" totalsRowShown="0" headerRowDxfId="573" dataDxfId="571" headerRowBorderDxfId="572" tableBorderDxfId="570" totalsRowBorderDxfId="569">
  <autoFilter ref="B29:D30">
    <filterColumn colId="0" hiddenButton="1"/>
    <filterColumn colId="1" hiddenButton="1"/>
    <filterColumn colId="2" hiddenButton="1"/>
  </autoFilter>
  <tableColumns count="3">
    <tableColumn id="1" name="диаметр" dataDxfId="568" dataCellStyle="Обычный_Базовые цены на специфичную продукцию"/>
    <tableColumn id="2" name="Бп" dataDxfId="567" dataCellStyle="Финансовый_Базовые цены на специфичную продукцию">
      <calculatedColumnFormula>ROUND(62166.03+4300,2)</calculatedColumnFormula>
    </tableColumn>
    <tableColumn id="3" name="Оц" dataDxfId="566" dataCellStyle="Финансовый_Базовые цены на специфичную продукцию">
      <calculatedColumnFormula>ROUND(67342.27+4300,2)</calculatedColumnFormula>
    </tableColumn>
  </tableColumns>
  <tableStyleInfo showFirstColumn="0" showLastColumn="0" showRowStripes="0" showColumnStripes="0"/>
</table>
</file>

<file path=xl/tables/table16.xml><?xml version="1.0" encoding="utf-8"?>
<table xmlns="http://schemas.openxmlformats.org/spreadsheetml/2006/main" id="57" name="првГ792" displayName="првГ792" ref="F29:H41" totalsRowShown="0" headerRowDxfId="565" dataDxfId="563" headerRowBorderDxfId="564" tableBorderDxfId="562" totalsRowBorderDxfId="561">
  <autoFilter ref="F29:H41">
    <filterColumn colId="0" hiddenButton="1"/>
    <filterColumn colId="1" hiddenButton="1"/>
    <filterColumn colId="2" hiddenButton="1"/>
  </autoFilter>
  <tableColumns count="3">
    <tableColumn id="1" name="диаметр" dataDxfId="560"/>
    <tableColumn id="2" name="Бп" dataDxfId="559" dataCellStyle="Финансовый"/>
    <tableColumn id="3" name="Оц" dataDxfId="558" dataCellStyle="Финансовый"/>
  </tableColumns>
  <tableStyleInfo showFirstColumn="0" showLastColumn="0" showRowStripes="0" showColumnStripes="0"/>
</table>
</file>

<file path=xl/tables/table17.xml><?xml version="1.0" encoding="utf-8"?>
<table xmlns="http://schemas.openxmlformats.org/spreadsheetml/2006/main" id="47" name="првГ9389" displayName="првГ9389" ref="B6:D37" totalsRowShown="0" headerRowDxfId="556" dataDxfId="554" headerRowBorderDxfId="555" tableBorderDxfId="553" totalsRowBorderDxfId="552">
  <autoFilter ref="B6:D37">
    <filterColumn colId="0" hiddenButton="1"/>
    <filterColumn colId="1" hiddenButton="1"/>
    <filterColumn colId="2" hiddenButton="1"/>
  </autoFilter>
  <tableColumns count="3">
    <tableColumn id="1" name="диаметр" dataDxfId="551"/>
    <tableColumn id="2" name="1кл" dataDxfId="550" dataCellStyle="Финансовый"/>
    <tableColumn id="3" name="2кл" dataDxfId="549" dataCellStyle="Финансовый"/>
  </tableColumns>
  <tableStyleInfo showFirstColumn="0" showLastColumn="0" showRowStripes="0" showColumnStripes="0"/>
</table>
</file>

<file path=xl/tables/table18.xml><?xml version="1.0" encoding="utf-8"?>
<table xmlns="http://schemas.openxmlformats.org/spreadsheetml/2006/main" id="48" name="првТУ1338" displayName="првТУ1338" ref="C54:D55" totalsRowShown="0" headerRowDxfId="548" dataDxfId="546" headerRowBorderDxfId="547" tableBorderDxfId="545" totalsRowBorderDxfId="544">
  <autoFilter ref="C54:D55">
    <filterColumn colId="0" hiddenButton="1"/>
    <filterColumn colId="1" hiddenButton="1"/>
  </autoFilter>
  <tableColumns count="2">
    <tableColumn id="1" name="диаметр" dataDxfId="543"/>
    <tableColumn id="2" name="цена" dataDxfId="542" dataCellStyle="Финансовый">
      <calculatedColumnFormula>ROUND(56769.38+5000,2)</calculatedColumnFormula>
    </tableColumn>
  </tableColumns>
  <tableStyleInfo showFirstColumn="0" showLastColumn="0" showRowStripes="0" showColumnStripes="0"/>
</table>
</file>

<file path=xl/tables/table19.xml><?xml version="1.0" encoding="utf-8"?>
<table xmlns="http://schemas.openxmlformats.org/spreadsheetml/2006/main" id="49" name="првГ10234" displayName="првГ10234" ref="C58:D60" totalsRowShown="0" headerRowDxfId="541" dataDxfId="539" headerRowBorderDxfId="540" tableBorderDxfId="538" totalsRowBorderDxfId="537">
  <autoFilter ref="C58:D60">
    <filterColumn colId="0" hiddenButton="1"/>
    <filterColumn colId="1" hiddenButton="1"/>
  </autoFilter>
  <tableColumns count="2">
    <tableColumn id="1" name="диаметр" dataDxfId="536"/>
    <tableColumn id="2" name="цена" dataDxfId="535" dataCellStyle="Финансовый">
      <calculatedColumnFormula>ROUND(56360.54+1200,2)</calculatedColumnFormula>
    </tableColumn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id="37" name="првТУ288" displayName="првТУ288" ref="B34:C40" totalsRowShown="0" headerRowDxfId="669" dataDxfId="667" headerRowBorderDxfId="668" tableBorderDxfId="666" totalsRowBorderDxfId="665">
  <autoFilter ref="B34:C40">
    <filterColumn colId="0" hiddenButton="1"/>
    <filterColumn colId="1" hiddenButton="1"/>
  </autoFilter>
  <tableColumns count="2">
    <tableColumn id="1" name="диаметр" dataDxfId="664"/>
    <tableColumn id="2" name="цена" dataDxfId="663"/>
  </tableColumns>
  <tableStyleInfo showFirstColumn="0" showLastColumn="0" showRowStripes="0" showColumnStripes="0"/>
</table>
</file>

<file path=xl/tables/table20.xml><?xml version="1.0" encoding="utf-8"?>
<table xmlns="http://schemas.openxmlformats.org/spreadsheetml/2006/main" id="51" name="првТУ399" displayName="првТУ399" ref="C61:D62" totalsRowShown="0" headerRowDxfId="534" dataDxfId="532" headerRowBorderDxfId="533" tableBorderDxfId="531" totalsRowBorderDxfId="530">
  <autoFilter ref="C61:D62">
    <filterColumn colId="0" hiddenButton="1"/>
    <filterColumn colId="1" hiddenButton="1"/>
  </autoFilter>
  <tableColumns count="2">
    <tableColumn id="1" name="диаметр" dataDxfId="529"/>
    <tableColumn id="2" name="цена" dataDxfId="528" dataCellStyle="Финансовый">
      <calculatedColumnFormula>ROUND(56964.5+5000,2)</calculatedColumnFormula>
    </tableColumn>
  </tableColumns>
  <tableStyleInfo showFirstColumn="0" showLastColumn="0" showRowStripes="0" showColumnStripes="0"/>
</table>
</file>

<file path=xl/tables/table21.xml><?xml version="1.0" encoding="utf-8"?>
<table xmlns="http://schemas.openxmlformats.org/spreadsheetml/2006/main" id="74" name="приплПрвГ9389" displayName="приплПрвГ9389" ref="B43:C47" totalsRowShown="0" headerRowDxfId="527" dataDxfId="525" headerRowBorderDxfId="526" tableBorderDxfId="524" totalsRowBorderDxfId="523">
  <autoFilter ref="B43:C47">
    <filterColumn colId="0" hiddenButton="1"/>
    <filterColumn colId="1" hiddenButton="1"/>
  </autoFilter>
  <tableColumns count="2">
    <tableColumn id="1" name="наимен" dataDxfId="522"/>
    <tableColumn id="2" name="значение" dataDxfId="521"/>
  </tableColumns>
  <tableStyleInfo showFirstColumn="0" showLastColumn="0" showRowStripes="0" showColumnStripes="0"/>
</table>
</file>

<file path=xl/tables/table22.xml><?xml version="1.0" encoding="utf-8"?>
<table xmlns="http://schemas.openxmlformats.org/spreadsheetml/2006/main" id="31" name="првТУ155" displayName="првТУ155" ref="C56:D57" totalsRowShown="0" headerRowDxfId="520" dataDxfId="518" headerRowBorderDxfId="519" tableBorderDxfId="517" totalsRowBorderDxfId="516">
  <autoFilter ref="C56:D57">
    <filterColumn colId="0" hiddenButton="1"/>
    <filterColumn colId="1" hiddenButton="1"/>
  </autoFilter>
  <tableColumns count="2">
    <tableColumn id="1" name="диаметр" dataDxfId="515"/>
    <tableColumn id="2" name="цена" dataDxfId="514" dataCellStyle="Финансовый">
      <calculatedColumnFormula>ROUND(56769.38+5000,2)</calculatedColumnFormula>
    </tableColumn>
  </tableColumns>
  <tableStyleInfo showFirstColumn="0" showLastColumn="0" showRowStripes="0" showColumnStripes="0"/>
</table>
</file>

<file path=xl/tables/table23.xml><?xml version="1.0" encoding="utf-8"?>
<table xmlns="http://schemas.openxmlformats.org/spreadsheetml/2006/main" id="58" name="првТУ391" displayName="првТУ391" ref="B4:C12" totalsRowShown="0" headerRowDxfId="513" dataDxfId="511" headerRowBorderDxfId="512" tableBorderDxfId="510" totalsRowBorderDxfId="509">
  <autoFilter ref="B4:C12">
    <filterColumn colId="0" hiddenButton="1"/>
    <filterColumn colId="1" hiddenButton="1"/>
  </autoFilter>
  <tableColumns count="2">
    <tableColumn id="1" name="диаметр" dataDxfId="508"/>
    <tableColumn id="2" name="цена" dataDxfId="507" dataCellStyle="Обычный_Базовые цены на специфичную продукцию"/>
  </tableColumns>
  <tableStyleInfo showFirstColumn="0" showLastColumn="0" showRowStripes="0" showColumnStripes="0"/>
</table>
</file>

<file path=xl/tables/table24.xml><?xml version="1.0" encoding="utf-8"?>
<table xmlns="http://schemas.openxmlformats.org/spreadsheetml/2006/main" id="60" name="првТУ050" displayName="првТУ050" ref="D4:E12" totalsRowShown="0" headerRowDxfId="506" dataDxfId="504" headerRowBorderDxfId="505" tableBorderDxfId="503" totalsRowBorderDxfId="502">
  <autoFilter ref="D4:E12">
    <filterColumn colId="0" hiddenButton="1"/>
    <filterColumn colId="1" hiddenButton="1"/>
  </autoFilter>
  <tableColumns count="2">
    <tableColumn id="1" name="диаметр" dataDxfId="501"/>
    <tableColumn id="2" name="цена" dataDxfId="500" dataCellStyle="Финансовый"/>
  </tableColumns>
  <tableStyleInfo showFirstColumn="0" showLastColumn="0" showRowStripes="0" showColumnStripes="0"/>
</table>
</file>

<file path=xl/tables/table25.xml><?xml version="1.0" encoding="utf-8"?>
<table xmlns="http://schemas.openxmlformats.org/spreadsheetml/2006/main" id="61" name="првТУ394" displayName="првТУ394" ref="G4:H11" totalsRowShown="0" headerRowDxfId="499" dataDxfId="497" headerRowBorderDxfId="498" tableBorderDxfId="496" totalsRowBorderDxfId="495">
  <autoFilter ref="G4:H11">
    <filterColumn colId="0" hiddenButton="1"/>
    <filterColumn colId="1" hiddenButton="1"/>
  </autoFilter>
  <tableColumns count="2">
    <tableColumn id="1" name="диаметр" dataDxfId="494"/>
    <tableColumn id="2" name="цена" dataDxfId="493" dataCellStyle="Финансовый_Базовые цены на специфичную продукцию"/>
  </tableColumns>
  <tableStyleInfo showFirstColumn="0" showLastColumn="0" showRowStripes="0" showColumnStripes="0"/>
</table>
</file>

<file path=xl/tables/table26.xml><?xml version="1.0" encoding="utf-8"?>
<table xmlns="http://schemas.openxmlformats.org/spreadsheetml/2006/main" id="62" name="првГ3875" displayName="првГ3875" ref="B18:D31" totalsRowShown="0" headerRowDxfId="492" dataDxfId="490" headerRowBorderDxfId="491" tableBorderDxfId="489" totalsRowBorderDxfId="488">
  <autoFilter ref="B18:D31">
    <filterColumn colId="0" hiddenButton="1"/>
    <filterColumn colId="1" hiddenButton="1"/>
    <filterColumn colId="2" hiddenButton="1"/>
  </autoFilter>
  <tableColumns count="3">
    <tableColumn id="1" name="диаметр" dataDxfId="487" dataCellStyle="Обычный_Базовые цены на специфичную продукцию"/>
    <tableColumn id="2" name="1кл" dataDxfId="486" dataCellStyle="Обычный_Базовые цены на специфичную продукцию"/>
    <tableColumn id="3" name="2кл" dataDxfId="485" dataCellStyle="Обычный_Базовые цены на специфичную продукцию"/>
  </tableColumns>
  <tableStyleInfo showFirstColumn="0" showLastColumn="0" showRowStripes="0" showColumnStripes="0"/>
</table>
</file>

<file path=xl/tables/table27.xml><?xml version="1.0" encoding="utf-8"?>
<table xmlns="http://schemas.openxmlformats.org/spreadsheetml/2006/main" id="63" name="првГ9850" displayName="првГ9850" ref="G17:H32" totalsRowShown="0" headerRowDxfId="484" dataDxfId="482" headerRowBorderDxfId="483" tableBorderDxfId="481" totalsRowBorderDxfId="480">
  <autoFilter ref="G17:H32">
    <filterColumn colId="0" hiddenButton="1"/>
    <filterColumn colId="1" hiddenButton="1"/>
  </autoFilter>
  <tableColumns count="2">
    <tableColumn id="1" name="диаметр" dataDxfId="479" dataCellStyle="Обычный_Базовые цены на специфичную продукцию"/>
    <tableColumn id="2" name="цена" dataDxfId="478" dataCellStyle="Финансовый_Базовые цены на специфичную продукцию"/>
  </tableColumns>
  <tableStyleInfo showFirstColumn="0" showLastColumn="0" showRowStripes="0" showColumnStripes="0"/>
</table>
</file>

<file path=xl/tables/table28.xml><?xml version="1.0" encoding="utf-8"?>
<table xmlns="http://schemas.openxmlformats.org/spreadsheetml/2006/main" id="64" name="првТУ1457" displayName="првТУ1457" ref="B36:D40" totalsRowShown="0" headerRowDxfId="477" dataDxfId="475" headerRowBorderDxfId="476" tableBorderDxfId="474" totalsRowBorderDxfId="473">
  <autoFilter ref="B36:D40">
    <filterColumn colId="0" hiddenButton="1"/>
    <filterColumn colId="1" hiddenButton="1"/>
    <filterColumn colId="2" hiddenButton="1"/>
  </autoFilter>
  <tableColumns count="3">
    <tableColumn id="1" name="диаметр" dataDxfId="472" dataCellStyle="Обычный_Базовые цены на специфичную продукцию"/>
    <tableColumn id="2" name="1кл" dataDxfId="471" dataCellStyle="Финансовый"/>
    <tableColumn id="3" name="2кл" dataDxfId="470" dataCellStyle="Финансовый"/>
  </tableColumns>
  <tableStyleInfo showFirstColumn="0" showLastColumn="0" showRowStripes="0" showColumnStripes="0"/>
</table>
</file>

<file path=xl/tables/table29.xml><?xml version="1.0" encoding="utf-8"?>
<table xmlns="http://schemas.openxmlformats.org/spreadsheetml/2006/main" id="65" name="првТУ462" displayName="првТУ462" ref="B44:D61" totalsRowShown="0" headerRowDxfId="469" dataDxfId="467" headerRowBorderDxfId="468" tableBorderDxfId="466" totalsRowBorderDxfId="465">
  <autoFilter ref="B44:D61">
    <filterColumn colId="0" hiddenButton="1"/>
    <filterColumn colId="1" hiddenButton="1"/>
    <filterColumn colId="2" hiddenButton="1"/>
  </autoFilter>
  <tableColumns count="3">
    <tableColumn id="1" name="диаметр" dataDxfId="464"/>
    <tableColumn id="2" name="Вес" dataDxfId="463"/>
    <tableColumn id="3" name="цена" dataDxfId="462" dataCellStyle="Финансовый"/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id="41" name="првТУ126" displayName="првТУ126" ref="E34:F37" totalsRowShown="0" headerRowDxfId="662" dataDxfId="660" headerRowBorderDxfId="661" tableBorderDxfId="659" totalsRowBorderDxfId="658">
  <autoFilter ref="E34:F37">
    <filterColumn colId="0" hiddenButton="1"/>
    <filterColumn colId="1" hiddenButton="1"/>
  </autoFilter>
  <tableColumns count="2">
    <tableColumn id="1" name="диаметр" dataDxfId="657"/>
    <tableColumn id="2" name="цена" dataDxfId="656"/>
  </tableColumns>
  <tableStyleInfo showFirstColumn="0" showLastColumn="0" showRowStripes="0" showColumnStripes="0"/>
</table>
</file>

<file path=xl/tables/table30.xml><?xml version="1.0" encoding="utf-8"?>
<table xmlns="http://schemas.openxmlformats.org/spreadsheetml/2006/main" id="66" name="првТУ933" displayName="првТУ933" ref="G44:H48" totalsRowShown="0" headerRowDxfId="461" dataDxfId="459" headerRowBorderDxfId="460" tableBorderDxfId="458" totalsRowBorderDxfId="457">
  <autoFilter ref="G44:H48">
    <filterColumn colId="0" hiddenButton="1"/>
    <filterColumn colId="1" hiddenButton="1"/>
  </autoFilter>
  <tableColumns count="2">
    <tableColumn id="1" name="диаметр" dataDxfId="456"/>
    <tableColumn id="2" name="цена" dataDxfId="455" dataCellStyle="Финансовый"/>
  </tableColumns>
  <tableStyleInfo showFirstColumn="0" showLastColumn="0" showRowStripes="0" showColumnStripes="0"/>
</table>
</file>

<file path=xl/tables/table31.xml><?xml version="1.0" encoding="utf-8"?>
<table xmlns="http://schemas.openxmlformats.org/spreadsheetml/2006/main" id="59" name="првГ7372" displayName="првГ7372" ref="B4:D22" totalsRowShown="0" headerRowDxfId="454" dataDxfId="452" headerRowBorderDxfId="453" tableBorderDxfId="451" totalsRowBorderDxfId="450">
  <autoFilter ref="B4:D22">
    <filterColumn colId="0" hiddenButton="1"/>
    <filterColumn colId="1" hiddenButton="1"/>
    <filterColumn colId="2" hiddenButton="1"/>
  </autoFilter>
  <tableColumns count="3">
    <tableColumn id="1" name="диаметр" dataDxfId="449"/>
    <tableColumn id="2" name="Бп" dataDxfId="448"/>
    <tableColumn id="3" name="Оц" dataDxfId="447"/>
  </tableColumns>
  <tableStyleInfo showFirstColumn="0" showLastColumn="0" showRowStripes="0" showColumnStripes="0"/>
</table>
</file>

<file path=xl/tables/table32.xml><?xml version="1.0" encoding="utf-8"?>
<table xmlns="http://schemas.openxmlformats.org/spreadsheetml/2006/main" id="76" name="приплПрвГ7372" displayName="приплПрвГ7372" ref="B35:C37" totalsRowShown="0" headerRowDxfId="446" dataDxfId="444" headerRowBorderDxfId="445" tableBorderDxfId="443" totalsRowBorderDxfId="442">
  <autoFilter ref="B35:C37">
    <filterColumn colId="0" hiddenButton="1"/>
    <filterColumn colId="1" hiddenButton="1"/>
  </autoFilter>
  <tableColumns count="2">
    <tableColumn id="1" name="наимен" dataDxfId="441"/>
    <tableColumn id="2" name="значение" dataDxfId="440"/>
  </tableColumns>
  <tableStyleInfo showFirstColumn="0" showLastColumn="0" showRowStripes="0" showColumnStripes="0"/>
</table>
</file>

<file path=xl/tables/table33.xml><?xml version="1.0" encoding="utf-8"?>
<table xmlns="http://schemas.openxmlformats.org/spreadsheetml/2006/main" id="67" name="првГ5663" displayName="првГ5663" ref="B4:C26" totalsRowShown="0" headerRowDxfId="439" dataDxfId="437" headerRowBorderDxfId="438" tableBorderDxfId="436" totalsRowBorderDxfId="435">
  <autoFilter ref="B4:C26">
    <filterColumn colId="0" hiddenButton="1"/>
    <filterColumn colId="1" hiddenButton="1"/>
  </autoFilter>
  <tableColumns count="2">
    <tableColumn id="1" name="диаметр" dataDxfId="434"/>
    <tableColumn id="2" name="цена" dataDxfId="433" dataCellStyle="Финансовый"/>
  </tableColumns>
  <tableStyleInfo showFirstColumn="0" showLastColumn="0" showRowStripes="0" showColumnStripes="0"/>
</table>
</file>

<file path=xl/tables/table34.xml><?xml version="1.0" encoding="utf-8"?>
<table xmlns="http://schemas.openxmlformats.org/spreadsheetml/2006/main" id="68" name="првГ17305" displayName="првГ17305" ref="G4:H14" totalsRowShown="0" headerRowDxfId="432" dataDxfId="430" headerRowBorderDxfId="431" tableBorderDxfId="429" totalsRowBorderDxfId="428">
  <autoFilter ref="G4:H14">
    <filterColumn colId="0" hiddenButton="1"/>
    <filterColumn colId="1" hiddenButton="1"/>
  </autoFilter>
  <tableColumns count="2">
    <tableColumn id="1" name="диаметр" dataDxfId="427"/>
    <tableColumn id="2" name="цена" dataDxfId="426" dataCellStyle="Финансовый"/>
  </tableColumns>
  <tableStyleInfo showFirstColumn="0" showLastColumn="0" showRowStripes="0" showColumnStripes="0"/>
</table>
</file>

<file path=xl/tables/table35.xml><?xml version="1.0" encoding="utf-8"?>
<table xmlns="http://schemas.openxmlformats.org/spreadsheetml/2006/main" id="70" name="првГ2246" displayName="првГ2246" ref="B30:C35" totalsRowShown="0" headerRowDxfId="425" dataDxfId="423" headerRowBorderDxfId="424" tableBorderDxfId="422" totalsRowBorderDxfId="421">
  <autoFilter ref="B30:C35">
    <filterColumn colId="0" hiddenButton="1"/>
    <filterColumn colId="1" hiddenButton="1"/>
  </autoFilter>
  <tableColumns count="2">
    <tableColumn id="1" name="диаметр" dataDxfId="420"/>
    <tableColumn id="2" name="цена" dataDxfId="419"/>
  </tableColumns>
  <tableStyleInfo showFirstColumn="0" showLastColumn="0" showRowStripes="0" showColumnStripes="0"/>
</table>
</file>

<file path=xl/tables/table36.xml><?xml version="1.0" encoding="utf-8"?>
<table xmlns="http://schemas.openxmlformats.org/spreadsheetml/2006/main" id="72" name="првГ7348" displayName="првГ7348" ref="G24:H25" totalsRowShown="0" headerRowDxfId="418" dataDxfId="416" headerRowBorderDxfId="417" tableBorderDxfId="415" totalsRowBorderDxfId="414">
  <autoFilter ref="G24:H25">
    <filterColumn colId="0" hiddenButton="1"/>
    <filterColumn colId="1" hiddenButton="1"/>
  </autoFilter>
  <tableColumns count="2">
    <tableColumn id="1" name="диаметр" dataDxfId="413"/>
    <tableColumn id="2" name="цена" dataDxfId="412" dataCellStyle="Финансовый">
      <calculatedColumnFormula>ROUND(58324+4000,2)</calculatedColumnFormula>
    </tableColumn>
  </tableColumns>
  <tableStyleInfo showFirstColumn="0" showLastColumn="0" showRowStripes="0" showColumnStripes="0"/>
</table>
</file>

<file path=xl/tables/table37.xml><?xml version="1.0" encoding="utf-8"?>
<table xmlns="http://schemas.openxmlformats.org/spreadsheetml/2006/main" id="78" name="приплПрвГ17305" displayName="приплПрвГ17305" ref="G16:H18" totalsRowShown="0" headerRowDxfId="411" dataDxfId="410">
  <autoFilter ref="G16:H18">
    <filterColumn colId="0" hiddenButton="1"/>
    <filterColumn colId="1" hiddenButton="1"/>
  </autoFilter>
  <tableColumns count="2">
    <tableColumn id="1" name="наимен" dataDxfId="409"/>
    <tableColumn id="2" name="значение" dataDxfId="408">
      <calculatedColumnFormula>'3'!E28</calculatedColumnFormula>
    </tableColumn>
  </tableColumns>
  <tableStyleInfo showFirstColumn="0" showLastColumn="0" showRowStripes="0" showColumnStripes="0"/>
</table>
</file>

<file path=xl/tables/table38.xml><?xml version="1.0" encoding="utf-8"?>
<table xmlns="http://schemas.openxmlformats.org/spreadsheetml/2006/main" id="69" name="првТС151" displayName="првТС151" ref="B39:C44" totalsRowShown="0" headerRowDxfId="407" dataDxfId="405" headerRowBorderDxfId="406" tableBorderDxfId="404" totalsRowBorderDxfId="403">
  <autoFilter ref="B39:C44">
    <filterColumn colId="0" hiddenButton="1"/>
    <filterColumn colId="1" hiddenButton="1"/>
  </autoFilter>
  <tableColumns count="2">
    <tableColumn id="1" name="диаметр" dataDxfId="402"/>
    <tableColumn id="2" name="цена" dataDxfId="401"/>
  </tableColumns>
  <tableStyleInfo showFirstColumn="0" showLastColumn="0" showRowStripes="1" showColumnStripes="0"/>
</table>
</file>

<file path=xl/tables/table39.xml><?xml version="1.0" encoding="utf-8"?>
<table xmlns="http://schemas.openxmlformats.org/spreadsheetml/2006/main" id="14" name="гвГ4028" displayName="гвГ4028" ref="B4:E15" totalsRowShown="0" headerRowDxfId="400" dataDxfId="398" headerRowBorderDxfId="399" tableBorderDxfId="397" totalsRowBorderDxfId="396" dataCellStyle="Финансовый">
  <autoFilter ref="B4:E15">
    <filterColumn colId="0" hiddenButton="1"/>
    <filterColumn colId="1" hiddenButton="1"/>
    <filterColumn colId="2" hiddenButton="1"/>
    <filterColumn colId="3" hiddenButton="1"/>
  </autoFilter>
  <tableColumns count="4">
    <tableColumn id="1" name="размер" dataDxfId="395"/>
    <tableColumn id="2" name="К25" dataDxfId="394" dataCellStyle="Финансовый"/>
    <tableColumn id="4" name="К5" dataDxfId="393" dataCellStyle="Финансовый"/>
    <tableColumn id="5" name="МКР" dataDxfId="392" dataCellStyle="Финансовый"/>
  </tableColumns>
  <tableStyleInfo showFirstColumn="0" showLastColumn="0" showRowStripes="0" showColumnStripes="0"/>
</table>
</file>

<file path=xl/tables/table4.xml><?xml version="1.0" encoding="utf-8"?>
<table xmlns="http://schemas.openxmlformats.org/spreadsheetml/2006/main" id="42" name="првТУ194" displayName="првТУ194" ref="H34:I35" totalsRowShown="0" headerRowDxfId="655" dataDxfId="653" headerRowBorderDxfId="654" tableBorderDxfId="652" totalsRowBorderDxfId="651">
  <autoFilter ref="H34:I35">
    <filterColumn colId="0" hiddenButton="1"/>
    <filterColumn colId="1" hiddenButton="1"/>
  </autoFilter>
  <tableColumns count="2">
    <tableColumn id="1" name="диаметр" dataDxfId="650" dataCellStyle="Обычный_Базовые цены на специфичную продукцию"/>
    <tableColumn id="2" name="цена" dataDxfId="649">
      <calculatedColumnFormula>ROUND(42587.28+4300,2)</calculatedColumnFormula>
    </tableColumn>
  </tableColumns>
  <tableStyleInfo showFirstColumn="0" showLastColumn="0" showRowStripes="0" showColumnStripes="0"/>
</table>
</file>

<file path=xl/tables/table40.xml><?xml version="1.0" encoding="utf-8"?>
<table xmlns="http://schemas.openxmlformats.org/spreadsheetml/2006/main" id="15" name="гвГ4029" displayName="гвГ4029" ref="B20:E23" totalsRowShown="0" headerRowDxfId="391" dataDxfId="389" headerRowBorderDxfId="390" tableBorderDxfId="388" totalsRowBorderDxfId="387" dataCellStyle="Финансовый">
  <autoFilter ref="B20:E23">
    <filterColumn colId="0" hiddenButton="1"/>
    <filterColumn colId="1" hiddenButton="1"/>
    <filterColumn colId="2" hiddenButton="1"/>
    <filterColumn colId="3" hiddenButton="1"/>
  </autoFilter>
  <tableColumns count="4">
    <tableColumn id="1" name="размер" dataDxfId="386"/>
    <tableColumn id="2" name="К25" dataDxfId="385" dataCellStyle="Финансовый"/>
    <tableColumn id="4" name="К5" dataDxfId="384" dataCellStyle="Финансовый"/>
    <tableColumn id="5" name="МКР" dataDxfId="383" dataCellStyle="Финансовый"/>
  </tableColumns>
  <tableStyleInfo showFirstColumn="0" showLastColumn="0" showRowStripes="0" showColumnStripes="0"/>
</table>
</file>

<file path=xl/tables/table41.xml><?xml version="1.0" encoding="utf-8"?>
<table xmlns="http://schemas.openxmlformats.org/spreadsheetml/2006/main" id="16" name="гвГ4030" displayName="гвГ4030" ref="B26:E27" totalsRowShown="0" headerRowDxfId="382" dataDxfId="380" headerRowBorderDxfId="381" tableBorderDxfId="379" totalsRowBorderDxfId="378" dataCellStyle="Финансовый">
  <autoFilter ref="B26:E27">
    <filterColumn colId="0" hiddenButton="1"/>
    <filterColumn colId="1" hiddenButton="1"/>
    <filterColumn colId="2" hiddenButton="1"/>
    <filterColumn colId="3" hiddenButton="1"/>
  </autoFilter>
  <tableColumns count="4">
    <tableColumn id="1" name="размер" dataDxfId="377"/>
    <tableColumn id="2" name="К25" dataDxfId="376" dataCellStyle="Финансовый">
      <calculatedColumnFormula>ROUND(54312.67+4200,2)</calculatedColumnFormula>
    </tableColumn>
    <tableColumn id="4" name="К5" dataDxfId="375" dataCellStyle="Финансовый">
      <calculatedColumnFormula>ROUND(56795.42+4200,2)</calculatedColumnFormula>
    </tableColumn>
    <tableColumn id="5" name="МКР" dataDxfId="374" dataCellStyle="Финансовый"/>
  </tableColumns>
  <tableStyleInfo showFirstColumn="0" showLastColumn="0" showRowStripes="0" showColumnStripes="0"/>
</table>
</file>

<file path=xl/tables/table42.xml><?xml version="1.0" encoding="utf-8"?>
<table xmlns="http://schemas.openxmlformats.org/spreadsheetml/2006/main" id="17" name="гвГ4034" displayName="гвГ4034" ref="B30:E34" totalsRowShown="0" headerRowDxfId="373" dataDxfId="371" headerRowBorderDxfId="372" tableBorderDxfId="370" totalsRowBorderDxfId="369" dataCellStyle="Финансовый">
  <autoFilter ref="B30:E34">
    <filterColumn colId="0" hiddenButton="1"/>
    <filterColumn colId="1" hiddenButton="1"/>
    <filterColumn colId="2" hiddenButton="1"/>
    <filterColumn colId="3" hiddenButton="1"/>
  </autoFilter>
  <tableColumns count="4">
    <tableColumn id="1" name="размер" dataDxfId="368"/>
    <tableColumn id="2" name="К25" dataDxfId="367" dataCellStyle="Финансовый"/>
    <tableColumn id="4" name="К5" dataDxfId="366" dataCellStyle="Финансовый"/>
    <tableColumn id="5" name="МКР" dataDxfId="365" dataCellStyle="Финансовый"/>
  </tableColumns>
  <tableStyleInfo showFirstColumn="0" showLastColumn="0" showRowStripes="0" showColumnStripes="0"/>
</table>
</file>

<file path=xl/tables/table43.xml><?xml version="1.0" encoding="utf-8"?>
<table xmlns="http://schemas.openxmlformats.org/spreadsheetml/2006/main" id="18" name="гвТУ1161" displayName="гвТУ1161" ref="B37:E41" totalsRowShown="0" headerRowDxfId="364" dataDxfId="362" headerRowBorderDxfId="363" tableBorderDxfId="361" totalsRowBorderDxfId="360" dataCellStyle="Финансовый">
  <autoFilter ref="B37:E41">
    <filterColumn colId="0" hiddenButton="1"/>
    <filterColumn colId="1" hiddenButton="1"/>
    <filterColumn colId="2" hiddenButton="1"/>
    <filterColumn colId="3" hiddenButton="1"/>
  </autoFilter>
  <tableColumns count="4">
    <tableColumn id="1" name="размер" dataDxfId="359"/>
    <tableColumn id="2" name="К25" dataDxfId="358" dataCellStyle="Финансовый"/>
    <tableColumn id="4" name="К5" dataDxfId="357" dataCellStyle="Финансовый"/>
    <tableColumn id="5" name="МКР" dataDxfId="356" dataCellStyle="Финансовый"/>
  </tableColumns>
  <tableStyleInfo showFirstColumn="0" showLastColumn="0" showRowStripes="0" showColumnStripes="0"/>
</table>
</file>

<file path=xl/tables/table44.xml><?xml version="1.0" encoding="utf-8"?>
<table xmlns="http://schemas.openxmlformats.org/spreadsheetml/2006/main" id="19" name="гвТУ259" displayName="гвТУ259" ref="B44:E47" totalsRowShown="0" headerRowDxfId="355" dataDxfId="353" headerRowBorderDxfId="354" tableBorderDxfId="352" totalsRowBorderDxfId="351" dataCellStyle="Финансовый">
  <autoFilter ref="B44:E47">
    <filterColumn colId="0" hiddenButton="1"/>
    <filterColumn colId="1" hiddenButton="1"/>
    <filterColumn colId="2" hiddenButton="1"/>
    <filterColumn colId="3" hiddenButton="1"/>
  </autoFilter>
  <tableColumns count="4">
    <tableColumn id="1" name="размер" dataDxfId="350"/>
    <tableColumn id="2" name="К25" dataDxfId="349" dataCellStyle="Финансовый"/>
    <tableColumn id="4" name="К5" dataDxfId="348" dataCellStyle="Финансовый"/>
    <tableColumn id="5" name="МКР" dataDxfId="347" dataCellStyle="Финансовый"/>
  </tableColumns>
  <tableStyleInfo showFirstColumn="0" showLastColumn="0" showRowStripes="0" showColumnStripes="0"/>
</table>
</file>

<file path=xl/tables/table45.xml><?xml version="1.0" encoding="utf-8"?>
<table xmlns="http://schemas.openxmlformats.org/spreadsheetml/2006/main" id="20" name="гвТУ012" displayName="гвТУ012" ref="B50:E54" totalsRowShown="0" headerRowDxfId="346" dataDxfId="344" headerRowBorderDxfId="345" tableBorderDxfId="343" totalsRowBorderDxfId="342" dataCellStyle="Финансовый">
  <autoFilter ref="B50:E54">
    <filterColumn colId="0" hiddenButton="1"/>
    <filterColumn colId="1" hiddenButton="1"/>
    <filterColumn colId="2" hiddenButton="1"/>
    <filterColumn colId="3" hiddenButton="1"/>
  </autoFilter>
  <tableColumns count="4">
    <tableColumn id="1" name="размер" dataDxfId="341"/>
    <tableColumn id="2" name="К25" dataDxfId="340" dataCellStyle="Финансовый"/>
    <tableColumn id="4" name="К5" dataDxfId="339" dataCellStyle="Финансовый"/>
    <tableColumn id="5" name="МКР" dataDxfId="338" dataCellStyle="Финансовый"/>
  </tableColumns>
  <tableStyleInfo showFirstColumn="0" showLastColumn="0" showRowStripes="0" showColumnStripes="0"/>
</table>
</file>

<file path=xl/tables/table46.xml><?xml version="1.0" encoding="utf-8"?>
<table xmlns="http://schemas.openxmlformats.org/spreadsheetml/2006/main" id="21" name="гвТУ029" displayName="гвТУ029" ref="B57:E58" totalsRowShown="0" headerRowDxfId="337" dataDxfId="335" headerRowBorderDxfId="336" tableBorderDxfId="334" totalsRowBorderDxfId="333" dataCellStyle="Финансовый">
  <autoFilter ref="B57:E58">
    <filterColumn colId="0" hiddenButton="1"/>
    <filterColumn colId="1" hiddenButton="1"/>
    <filterColumn colId="2" hiddenButton="1"/>
    <filterColumn colId="3" hiddenButton="1"/>
  </autoFilter>
  <tableColumns count="4">
    <tableColumn id="1" name="размер" dataDxfId="332"/>
    <tableColumn id="2" name="К25" dataDxfId="331" dataCellStyle="Финансовый"/>
    <tableColumn id="4" name="К5" dataDxfId="330" dataCellStyle="Финансовый"/>
    <tableColumn id="5" name="МКР" dataDxfId="329" dataCellStyle="Финансовый">
      <calculatedColumnFormula>ROUND(58962.54+4200,2)</calculatedColumnFormula>
    </tableColumn>
  </tableColumns>
  <tableStyleInfo showFirstColumn="0" showLastColumn="0" showRowStripes="0" showColumnStripes="0"/>
</table>
</file>

<file path=xl/tables/table47.xml><?xml version="1.0" encoding="utf-8"?>
<table xmlns="http://schemas.openxmlformats.org/spreadsheetml/2006/main" id="3" name="сгCoils" displayName="сгCoils" ref="B5:E56" totalsRowShown="0" headerRowDxfId="328" dataDxfId="326" headerRowBorderDxfId="327" tableBorderDxfId="325" totalsRowBorderDxfId="324">
  <autoFilter ref="B5:E56">
    <filterColumn colId="0" hiddenButton="1"/>
    <filterColumn colId="1" hiddenButton="1"/>
    <filterColumn colId="2" hiddenButton="1"/>
    <filterColumn colId="3" hiddenButton="1"/>
  </autoFilter>
  <tableColumns count="4">
    <tableColumn id="1" name="диам, мм" dataDxfId="323" dataCellStyle="Обычный_Лист1"/>
    <tableColumn id="2" name="длина, мм" dataDxfId="322" dataCellStyle="Обычный_Лист1"/>
    <tableColumn id="3" name="гладкие" dataDxfId="321" dataCellStyle="Финансовый_Общего назначения сентябрь 2007"/>
    <tableColumn id="4" name="с накаткой" dataDxfId="320" dataCellStyle="Финансовый_Общего назначения сентябрь 2007"/>
  </tableColumns>
  <tableStyleInfo showFirstColumn="0" showLastColumn="0" showRowStripes="0" showColumnStripes="0"/>
</table>
</file>

<file path=xl/tables/table48.xml><?xml version="1.0" encoding="utf-8"?>
<table xmlns="http://schemas.openxmlformats.org/spreadsheetml/2006/main" id="12" name="сгPEStrips" displayName="сгPEStrips" ref="B60:E78" totalsRowShown="0" headerRowDxfId="319" dataDxfId="317" headerRowBorderDxfId="318" tableBorderDxfId="316" totalsRowBorderDxfId="315">
  <autoFilter ref="B60:E78">
    <filterColumn colId="0" hiddenButton="1"/>
    <filterColumn colId="1" hiddenButton="1"/>
    <filterColumn colId="2" hiddenButton="1"/>
    <filterColumn colId="3" hiddenButton="1"/>
  </autoFilter>
  <tableColumns count="4">
    <tableColumn id="1" name="диам, мм" dataDxfId="314" dataCellStyle="Обычный_Общего назначения сентябрь 2007"/>
    <tableColumn id="2" name="длина, мм" dataDxfId="313" dataCellStyle="Обычный_Общего назначения сентябрь 2007"/>
    <tableColumn id="3" name="гладкие" dataDxfId="312" dataCellStyle="Финансовый_Общего назначения сентябрь 2007"/>
    <tableColumn id="4" name="с накаткой" dataDxfId="311" dataCellStyle="Финансовый_Общего назначения сентябрь 2007"/>
  </tableColumns>
  <tableStyleInfo showFirstColumn="0" showLastColumn="0" showRowStripes="0" showColumnStripes="0"/>
</table>
</file>

<file path=xl/tables/table49.xml><?xml version="1.0" encoding="utf-8"?>
<table xmlns="http://schemas.openxmlformats.org/spreadsheetml/2006/main" id="13" name="сгМашинные" displayName="сгМашинные" ref="B83:E88" totalsRowShown="0" headerRowDxfId="310" dataDxfId="308" headerRowBorderDxfId="309" tableBorderDxfId="307" totalsRowBorderDxfId="306">
  <autoFilter ref="B83:E88">
    <filterColumn colId="0" hiddenButton="1"/>
    <filterColumn colId="1" hiddenButton="1"/>
    <filterColumn colId="2" hiddenButton="1"/>
    <filterColumn colId="3" hiddenButton="1"/>
  </autoFilter>
  <tableColumns count="4">
    <tableColumn id="1" name="диам, мм" dataDxfId="305" dataCellStyle="Обычный_Общего назначения сентябрь 2007"/>
    <tableColumn id="2" name="длина, мм" dataDxfId="304" dataCellStyle="Обычный_Общего назначения сентябрь 2007"/>
    <tableColumn id="3" name="гладкие" dataDxfId="303" dataCellStyle="Финансовый_Общего назначения сентябрь 2007"/>
    <tableColumn id="4" name="с накаткой" dataDxfId="302" dataCellStyle="Финансовый_Общего назначения сентябрь 2007"/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id="43" name="првГ6727" displayName="првГ6727" ref="B45:D47" totalsRowShown="0" headerRowDxfId="648" dataDxfId="646" headerRowBorderDxfId="647" tableBorderDxfId="645" totalsRowBorderDxfId="644">
  <autoFilter ref="B45:D47">
    <filterColumn colId="0" hiddenButton="1"/>
    <filterColumn colId="1" hiddenButton="1"/>
    <filterColumn colId="2" hiddenButton="1"/>
  </autoFilter>
  <tableColumns count="3">
    <tableColumn id="1" name="диаметр" dataDxfId="643" dataCellStyle="Обычный_Базовые цены на специфичную продукцию"/>
    <tableColumn id="2" name="Ч" dataDxfId="642"/>
    <tableColumn id="3" name="О" dataDxfId="641"/>
  </tableColumns>
  <tableStyleInfo showFirstColumn="0" showLastColumn="0" showRowStripes="0" showColumnStripes="0"/>
</table>
</file>

<file path=xl/tables/table50.xml><?xml version="1.0" encoding="utf-8"?>
<table xmlns="http://schemas.openxmlformats.org/spreadsheetml/2006/main" id="22" name="пкГ1051" displayName="пкГ1051" ref="B5:J6" totalsRowShown="0" headerRowDxfId="301" dataDxfId="300" tableBorderDxfId="299" dataCellStyle="Финансовый">
  <autoFilter ref="B5:J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марка стали" dataDxfId="298"/>
    <tableColumn id="2" name="8,0 и менее" dataDxfId="297" dataCellStyle="Финансовый">
      <calculatedColumnFormula>ROUND(67202.85*1.05,2)</calculatedColumnFormula>
    </tableColumn>
    <tableColumn id="3" name="8,1-9,9" dataDxfId="296" dataCellStyle="Финансовый">
      <calculatedColumnFormula>ROUND(62692.99*1.05,2)</calculatedColumnFormula>
    </tableColumn>
    <tableColumn id="4" name="10,0 - 12,0" dataDxfId="295" dataCellStyle="Финансовый">
      <calculatedColumnFormula>ROUND(61895.97*1.05,2)</calculatedColumnFormula>
    </tableColumn>
    <tableColumn id="5" name="12,1-25,0" dataDxfId="294" dataCellStyle="Финансовый">
      <calculatedColumnFormula>ROUND(61098.99*1.05,2)</calculatedColumnFormula>
    </tableColumn>
    <tableColumn id="6" name="25,1-35,0" dataDxfId="293" dataCellStyle="Финансовый">
      <calculatedColumnFormula>ROUND(59266*1.05,2)</calculatedColumnFormula>
    </tableColumn>
    <tableColumn id="7" name="35,1-49" dataDxfId="292" dataCellStyle="Финансовый">
      <calculatedColumnFormula>ROUND(58044.02*1.05,2)</calculatedColumnFormula>
    </tableColumn>
    <tableColumn id="8" name="50 и более" dataDxfId="291" dataCellStyle="Финансовый">
      <calculatedColumnFormula>ROUND(68187.61*1.05,2)</calculatedColumnFormula>
    </tableColumn>
    <tableColumn id="10" name="ШГ 55" dataDxfId="290">
      <calculatedColumnFormula>I7</calculatedColumnFormula>
    </tableColumn>
  </tableColumns>
  <tableStyleInfo showFirstColumn="0" showLastColumn="0" showRowStripes="0" showColumnStripes="0"/>
</table>
</file>

<file path=xl/tables/table51.xml><?xml version="1.0" encoding="utf-8"?>
<table xmlns="http://schemas.openxmlformats.org/spreadsheetml/2006/main" id="23" name="пкГ4543" displayName="пкГ4543" ref="B14:K15" totalsRowShown="0" headerRowDxfId="289" dataDxfId="288" tableBorderDxfId="287" dataCellStyle="Финансовый">
  <autoFilter ref="B14:K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марка стали" dataDxfId="286"/>
    <tableColumn id="2" name="8,0 и менее" dataDxfId="285" dataCellStyle="Финансовый">
      <calculatedColumnFormula>ROUND(72247.34*1.05,2)</calculatedColumnFormula>
    </tableColumn>
    <tableColumn id="3" name="8,1-9,9" dataDxfId="284" dataCellStyle="Финансовый">
      <calculatedColumnFormula>ROUND(70984.03*1.05,2)</calculatedColumnFormula>
    </tableColumn>
    <tableColumn id="4" name="10,0 - 12,0" dataDxfId="283" dataCellStyle="Финансовый">
      <calculatedColumnFormula>ROUND(69571.31*1.05,2)</calculatedColumnFormula>
    </tableColumn>
    <tableColumn id="5" name="12,1-25,0" dataDxfId="282" dataCellStyle="Финансовый">
      <calculatedColumnFormula>ROUND(68286.69*1.05,2)</calculatedColumnFormula>
    </tableColumn>
    <tableColumn id="6" name="25,1-35,0" dataDxfId="281" dataCellStyle="Финансовый">
      <calculatedColumnFormula>ROUND(66238.1*1.05,2)</calculatedColumnFormula>
    </tableColumn>
    <tableColumn id="7" name="35,1-49" dataDxfId="280" dataCellStyle="Финансовый">
      <calculatedColumnFormula>ROUND(64872.37*1.05,2)</calculatedColumnFormula>
    </tableColumn>
    <tableColumn id="8" name="50 и более" dataDxfId="279" dataCellStyle="Финансовый">
      <calculatedColumnFormula>ROUND(69281.17*1.05,2)</calculatedColumnFormula>
    </tableColumn>
    <tableColumn id="9" name="ШГ 50" dataDxfId="278">
      <calculatedColumnFormula>I16</calculatedColumnFormula>
    </tableColumn>
    <tableColumn id="10" name="ШГ 55" dataDxfId="277">
      <calculatedColumnFormula>I17</calculatedColumnFormula>
    </tableColumn>
  </tableColumns>
  <tableStyleInfo showFirstColumn="0" showLastColumn="0" showRowStripes="0" showColumnStripes="0"/>
</table>
</file>

<file path=xl/tables/table52.xml><?xml version="1.0" encoding="utf-8"?>
<table xmlns="http://schemas.openxmlformats.org/spreadsheetml/2006/main" id="24" name="пкГ1414" displayName="пкГ1414" ref="B25:I26" totalsRowShown="0" headerRowDxfId="276" dataDxfId="275" tableBorderDxfId="274" dataCellStyle="Финансовый">
  <autoFilter ref="B25:I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марка стали" dataDxfId="273"/>
    <tableColumn id="2" name="6,0 и менее" dataDxfId="272" dataCellStyle="Финансовый">
      <calculatedColumnFormula>ROUND(86302.35*1.05,2)</calculatedColumnFormula>
    </tableColumn>
    <tableColumn id="3" name="6,1-9,9" dataDxfId="271" dataCellStyle="Финансовый">
      <calculatedColumnFormula>ROUND(81180.53*1.05,2)</calculatedColumnFormula>
    </tableColumn>
    <tableColumn id="4" name="10,0 - 12,0" dataDxfId="270" dataCellStyle="Финансовый">
      <calculatedColumnFormula>ROUND(72074.39*1.05,2)</calculatedColumnFormula>
    </tableColumn>
    <tableColumn id="5" name="12,1-25,0" dataDxfId="269" dataCellStyle="Финансовый">
      <calculatedColumnFormula>ROUND(66146.25*1.05,2)</calculatedColumnFormula>
    </tableColumn>
    <tableColumn id="6" name="25,1-35,0" dataDxfId="268" dataCellStyle="Финансовый">
      <calculatedColumnFormula>ROUND(64161.83*1.05,2)</calculatedColumnFormula>
    </tableColumn>
    <tableColumn id="7" name="35,1 и выше" dataDxfId="267" dataCellStyle="Финансовый">
      <calculatedColumnFormula>ROUND(64161.83*1.05,2)</calculatedColumnFormula>
    </tableColumn>
    <tableColumn id="8" name="ШГ35,1 и выше" dataDxfId="266">
      <calculatedColumnFormula>H27</calculatedColumnFormula>
    </tableColumn>
  </tableColumns>
  <tableStyleInfo showFirstColumn="0" showLastColumn="0" showRowStripes="0" showColumnStripes="0"/>
</table>
</file>

<file path=xl/tables/table53.xml><?xml version="1.0" encoding="utf-8"?>
<table xmlns="http://schemas.openxmlformats.org/spreadsheetml/2006/main" id="75" name="приплКрепёж" displayName="приплКрепёж" ref="A4:B14" totalsRowShown="0" headerRowDxfId="265" dataDxfId="264" tableBorderDxfId="263" headerRowCellStyle="Обычный 3" dataCellStyle="Обычный 3">
  <autoFilter ref="A4:B14">
    <filterColumn colId="0" hiddenButton="1"/>
    <filterColumn colId="1" hiddenButton="1"/>
  </autoFilter>
  <tableColumns count="2">
    <tableColumn id="1" name="наимен" dataDxfId="262" dataCellStyle="Обычный 3"/>
    <tableColumn id="8" name="значение" dataDxfId="261" dataCellStyle="Обычный 3"/>
  </tableColumns>
  <tableStyleInfo showFirstColumn="0" showLastColumn="0" showRowStripes="0" showColumnStripes="0"/>
</table>
</file>

<file path=xl/tables/table54.xml><?xml version="1.0" encoding="utf-8"?>
<table xmlns="http://schemas.openxmlformats.org/spreadsheetml/2006/main" id="1" name="крбГ7798" displayName="крбГ7798" ref="B6:I23" totalsRowShown="0" headerRowDxfId="260" dataDxfId="258" headerRowBorderDxfId="259" tableBorderDxfId="257" totalsRowBorderDxfId="256" headerRowCellStyle="Финансовый 2" dataCellStyle="Финансовый 2">
  <autoFilter ref="B6:I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диаметр" dataDxfId="255" dataCellStyle="Финансовый 2"/>
    <tableColumn id="2" name="длина" dataDxfId="254" dataCellStyle="Финансовый 2"/>
    <tableColumn id="3" name="обычн бп" dataDxfId="253" dataCellStyle="Финансовый 2"/>
    <tableColumn id="4" name="обычн оц" dataDxfId="252" dataCellStyle="Финансовый 2"/>
    <tableColumn id="5" name="8 бп" dataDxfId="251" dataCellStyle="Финансовый 2"/>
    <tableColumn id="6" name="8 оц" dataDxfId="250" dataCellStyle="Финансовый 2"/>
    <tableColumn id="7" name="10 бп" dataDxfId="249" dataCellStyle="Финансовый 2"/>
    <tableColumn id="8" name="10 оц" dataDxfId="248" dataCellStyle="Финансовый 2"/>
  </tableColumns>
  <tableStyleInfo showFirstColumn="0" showLastColumn="0" showRowStripes="0" showColumnStripes="0"/>
</table>
</file>

<file path=xl/tables/table55.xml><?xml version="1.0" encoding="utf-8"?>
<table xmlns="http://schemas.openxmlformats.org/spreadsheetml/2006/main" id="2" name="крбГ7795" displayName="крбГ7795" ref="B26:I39" totalsRowShown="0" headerRowDxfId="247" dataDxfId="245" headerRowBorderDxfId="246" tableBorderDxfId="244" totalsRowBorderDxfId="243" headerRowCellStyle="Финансовый 2" dataCellStyle="Финансовый 2">
  <tableColumns count="8">
    <tableColumn id="1" name="диаметр" dataDxfId="242" dataCellStyle="Финансовый 2"/>
    <tableColumn id="2" name="длина" dataDxfId="241" dataCellStyle="Финансовый 2"/>
    <tableColumn id="3" name="обычн бп" dataDxfId="240" dataCellStyle="Финансовый 2"/>
    <tableColumn id="4" name="обычн оц" dataDxfId="239" dataCellStyle="Финансовый 2"/>
    <tableColumn id="5" name="8 бп" dataDxfId="238" dataCellStyle="Финансовый 2"/>
    <tableColumn id="6" name="8 оц" dataDxfId="237" dataCellStyle="Финансовый 2"/>
    <tableColumn id="7" name="10 бп" dataDxfId="236" dataCellStyle="Финансовый 2"/>
    <tableColumn id="8" name="10 оц" dataDxfId="235" dataCellStyle="Финансовый 2"/>
  </tableColumns>
  <tableStyleInfo showFirstColumn="0" showLastColumn="0" showRowStripes="0" showColumnStripes="0"/>
</table>
</file>

<file path=xl/tables/table56.xml><?xml version="1.0" encoding="utf-8"?>
<table xmlns="http://schemas.openxmlformats.org/spreadsheetml/2006/main" id="4" name="крбГ7801" displayName="крбГ7801" ref="B42:G48" totalsRowShown="0" headerRowDxfId="234" dataDxfId="233" tableBorderDxfId="232">
  <autoFilter ref="B42:G4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диаметр" dataDxfId="231" dataCellStyle="Финансовый 2"/>
    <tableColumn id="2" name="длина" dataDxfId="230" dataCellStyle="Финансовый 2"/>
    <tableColumn id="3" name="обычн бп" dataDxfId="229" dataCellStyle="Финансовый 2"/>
    <tableColumn id="4" name="обычн оц" dataDxfId="228" dataCellStyle="Финансовый 2"/>
    <tableColumn id="5" name="8 бп" dataDxfId="227" dataCellStyle="Финансовый 2"/>
    <tableColumn id="6" name="8 оц" dataDxfId="226" dataCellStyle="Финансовый 2"/>
  </tableColumns>
  <tableStyleInfo showFirstColumn="0" showLastColumn="0" showRowStripes="0" showColumnStripes="0"/>
</table>
</file>

<file path=xl/tables/table57.xml><?xml version="1.0" encoding="utf-8"?>
<table xmlns="http://schemas.openxmlformats.org/spreadsheetml/2006/main" id="5" name="крбГ7802" displayName="крбГ7802" ref="B51:I55" totalsRowShown="0" headerRowDxfId="225" dataDxfId="223" headerRowBorderDxfId="224" tableBorderDxfId="222" totalsRowBorderDxfId="221" headerRowCellStyle="Финансовый 2" dataCellStyle="Финансовый 2">
  <autoFilter ref="B51:I5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name="диаметр" dataDxfId="220" dataCellStyle="Финансовый 2"/>
    <tableColumn id="2" name="длина" dataDxfId="219" dataCellStyle="Финансовый 2"/>
    <tableColumn id="3" name="обычн бп" dataDxfId="218" dataCellStyle="Финансовый 2"/>
    <tableColumn id="4" name="обычн оц" dataDxfId="217" dataCellStyle="Финансовый 2"/>
    <tableColumn id="5" name="8 бп" dataDxfId="216" dataCellStyle="Финансовый 2"/>
    <tableColumn id="6" name="8 оц" dataDxfId="215" dataCellStyle="Финансовый 2"/>
    <tableColumn id="7" name="10 бп" dataDxfId="214" dataCellStyle="Финансовый 2"/>
    <tableColumn id="8" name="10 оц" dataDxfId="213" dataCellStyle="Финансовый 2"/>
  </tableColumns>
  <tableStyleInfo showFirstColumn="0" showLastColumn="0" showRowStripes="1" showColumnStripes="0"/>
</table>
</file>

<file path=xl/tables/table58.xml><?xml version="1.0" encoding="utf-8"?>
<table xmlns="http://schemas.openxmlformats.org/spreadsheetml/2006/main" id="6" name="крбТУ016" displayName="крбТУ016" ref="B58:G59" totalsRowShown="0" headerRowDxfId="212" dataDxfId="211" tableBorderDxfId="210">
  <autoFilter ref="B58:G5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диаметр" dataDxfId="209" dataCellStyle="Финансовый 2"/>
    <tableColumn id="2" name="длина" dataDxfId="208" dataCellStyle="Финансовый 2"/>
    <tableColumn id="3" name="обычн бп" dataDxfId="207" dataCellStyle="Финансовый 2">
      <calculatedColumnFormula>ROUND(102079.46*1.02,2)</calculatedColumnFormula>
    </tableColumn>
    <tableColumn id="4" name="обычн оц" dataDxfId="206" dataCellStyle="Финансовый 2">
      <calculatedColumnFormula>ROUND(109169.92*1.02,2)</calculatedColumnFormula>
    </tableColumn>
    <tableColumn id="5" name="8 бп" dataDxfId="205" dataCellStyle="Финансовый 2"/>
    <tableColumn id="6" name="8 оц" dataDxfId="204" dataCellStyle="Финансовый 2"/>
  </tableColumns>
  <tableStyleInfo showFirstColumn="0" showLastColumn="0" showRowStripes="0" showColumnStripes="0"/>
</table>
</file>

<file path=xl/tables/table59.xml><?xml version="1.0" encoding="utf-8"?>
<table xmlns="http://schemas.openxmlformats.org/spreadsheetml/2006/main" id="7" name="крбГ7786" displayName="крбГ7786" ref="B62:I67" totalsRowShown="0" headerRowDxfId="203" dataDxfId="201" headerRowBorderDxfId="202" tableBorderDxfId="200" totalsRowBorderDxfId="199" headerRowCellStyle="Финансовый 2" dataCellStyle="Финансовый 2">
  <tableColumns count="8">
    <tableColumn id="1" name="диаметр" dataDxfId="198" dataCellStyle="Финансовый 2"/>
    <tableColumn id="2" name="длина" dataDxfId="197" dataCellStyle="Финансовый 2"/>
    <tableColumn id="3" name="обычн бп" dataDxfId="196" dataCellStyle="Финансовый 2"/>
    <tableColumn id="4" name="обычн оц" dataDxfId="195" dataCellStyle="Финансовый 2"/>
    <tableColumn id="5" name="8 бп" dataDxfId="194" dataCellStyle="Финансовый 2"/>
    <tableColumn id="6" name="8 оц" dataDxfId="193" dataCellStyle="Финансовый 2"/>
    <tableColumn id="7" name="10 бп" dataDxfId="192" dataCellStyle="Финансовый 2"/>
    <tableColumn id="8" name="10 оц" dataDxfId="191" dataCellStyle="Финансовый 2"/>
  </tableColumns>
  <tableStyleInfo showFirstColumn="0" showLastColumn="0" showRowStripes="0" showColumnStripes="0"/>
</table>
</file>

<file path=xl/tables/table6.xml><?xml version="1.0" encoding="utf-8"?>
<table xmlns="http://schemas.openxmlformats.org/spreadsheetml/2006/main" id="44" name="првГ52544" displayName="првГ52544" ref="H44:I46" totalsRowShown="0" headerRowDxfId="640" dataDxfId="638" headerRowBorderDxfId="639" tableBorderDxfId="637" totalsRowBorderDxfId="636">
  <autoFilter ref="H44:I46">
    <filterColumn colId="0" hiddenButton="1"/>
    <filterColumn colId="1" hiddenButton="1"/>
  </autoFilter>
  <tableColumns count="2">
    <tableColumn id="1" name="диаметр" dataDxfId="635" dataCellStyle="Обычный_Базовые цены на специфичную продукцию"/>
    <tableColumn id="2" name="цена" dataDxfId="634"/>
  </tableColumns>
  <tableStyleInfo showFirstColumn="0" showLastColumn="0" showRowStripes="0" showColumnStripes="0"/>
</table>
</file>

<file path=xl/tables/table60.xml><?xml version="1.0" encoding="utf-8"?>
<table xmlns="http://schemas.openxmlformats.org/spreadsheetml/2006/main" id="9" name="крбТС042" displayName="крбТС042" ref="B70:G72" totalsRowShown="0" headerRowDxfId="190" dataDxfId="188" headerRowBorderDxfId="189" tableBorderDxfId="187" headerRowCellStyle="Обычный 2" dataCellStyle="Финансовый 2">
  <autoFilter ref="B70:G7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диаметр" dataDxfId="186"/>
    <tableColumn id="2" name="длина" dataDxfId="185" dataCellStyle="Финансовый 2"/>
    <tableColumn id="3" name="обычн бп" dataDxfId="184" dataCellStyle="Финансовый 2">
      <calculatedColumnFormula>ROUND(94126.07*1.02,2)</calculatedColumnFormula>
    </tableColumn>
    <tableColumn id="4" name="обычн оц" dataDxfId="183" dataCellStyle="Финансовый 2">
      <calculatedColumnFormula>ROUND(101811.69*1.02,2)</calculatedColumnFormula>
    </tableColumn>
    <tableColumn id="5" name="8 бп" dataDxfId="182" dataCellStyle="Финансовый 2">
      <calculatedColumnFormula>ROUND(78984.98*1.03,2)</calculatedColumnFormula>
    </tableColumn>
    <tableColumn id="6" name="8 оц" dataDxfId="181" dataCellStyle="Финансовый 2">
      <calculatedColumnFormula>ROUND(88648.25*1.03,2)</calculatedColumnFormula>
    </tableColumn>
  </tableColumns>
  <tableStyleInfo showFirstColumn="0" showLastColumn="0" showRowStripes="0" showColumnStripes="0"/>
</table>
</file>

<file path=xl/tables/table61.xml><?xml version="1.0" encoding="utf-8"?>
<table xmlns="http://schemas.openxmlformats.org/spreadsheetml/2006/main" id="10" name="крбТУ432" displayName="крбТУ432" ref="B79:G80" totalsRowShown="0" headerRowDxfId="180" dataDxfId="178" headerRowBorderDxfId="179" tableBorderDxfId="177" totalsRowBorderDxfId="176" headerRowCellStyle="Финансовый 2" dataCellStyle="Финансовый 2">
  <tableColumns count="6">
    <tableColumn id="1" name="диаметр" dataDxfId="175" dataCellStyle="Финансовый 2"/>
    <tableColumn id="2" name="длина" dataDxfId="174" dataCellStyle="Финансовый 2"/>
    <tableColumn id="3" name="обычн бп" dataDxfId="173" dataCellStyle="Финансовый 2">
      <calculatedColumnFormula>ROUND(155870.63*1.02,2)</calculatedColumnFormula>
    </tableColumn>
    <tableColumn id="4" name="обычн оц" dataDxfId="172" dataCellStyle="Финансовый 2">
      <calculatedColumnFormula>ROUND(160289.72*1.02,2)</calculatedColumnFormula>
    </tableColumn>
    <tableColumn id="5" name="8 бп" dataDxfId="171" dataCellStyle="Финансовый 2"/>
    <tableColumn id="6" name="8 оц" dataDxfId="170" dataCellStyle="Финансовый 2"/>
  </tableColumns>
  <tableStyleInfo showFirstColumn="0" showLastColumn="0" showRowStripes="0" showColumnStripes="0"/>
</table>
</file>

<file path=xl/tables/table62.xml><?xml version="1.0" encoding="utf-8"?>
<table xmlns="http://schemas.openxmlformats.org/spreadsheetml/2006/main" id="25" name="кргТС042" displayName="кргТС042" ref="B74:G76" totalsRowShown="0" headerRowDxfId="169" dataDxfId="168" tableBorderDxfId="167" headerRowCellStyle="Финансовый 2" dataCellStyle="Финансовый 2">
  <autoFilter ref="B74:G7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диаметр" dataDxfId="166"/>
    <tableColumn id="2" name="длина" dataDxfId="165" dataCellStyle="Финансовый 2"/>
    <tableColumn id="3" name="обычн бп" dataDxfId="164" dataCellStyle="Финансовый 2"/>
    <tableColumn id="4" name="обычн оц" dataDxfId="163" dataCellStyle="Финансовый 2"/>
    <tableColumn id="5" name="8 бп" dataDxfId="162" dataCellStyle="Финансовый 2"/>
    <tableColumn id="6" name="8 оц" dataDxfId="161" dataCellStyle="Финансовый 2"/>
  </tableColumns>
  <tableStyleInfo showFirstColumn="0" showLastColumn="0" showRowStripes="0" showColumnStripes="0"/>
</table>
</file>

<file path=xl/tables/table63.xml><?xml version="1.0" encoding="utf-8"?>
<table xmlns="http://schemas.openxmlformats.org/spreadsheetml/2006/main" id="77" name="крбDIN1665" displayName="крбDIN1665" ref="B91:I92" totalsRowShown="0" headerRowDxfId="160" dataDxfId="158" headerRowBorderDxfId="159" tableBorderDxfId="157" totalsRowBorderDxfId="156" dataCellStyle="Финансовый 2">
  <autoFilter ref="B91:I9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диаметр" dataDxfId="155" dataCellStyle="Финансовый 2"/>
    <tableColumn id="2" name="длина" dataDxfId="154" dataCellStyle="Финансовый 2"/>
    <tableColumn id="3" name="обычн бп" dataDxfId="153" dataCellStyle="Финансовый 2">
      <calculatedColumnFormula>ROUND(81882.28*1.02,2)</calculatedColumnFormula>
    </tableColumn>
    <tableColumn id="4" name="обычн оц" dataDxfId="152" dataCellStyle="Финансовый 2">
      <calculatedColumnFormula>ROUND(85821*1.02,2)</calculatedColumnFormula>
    </tableColumn>
    <tableColumn id="5" name="8 бп" dataDxfId="151" dataCellStyle="Финансовый 2">
      <calculatedColumnFormula>ROUND(116719.38*1.05,2)</calculatedColumnFormula>
    </tableColumn>
    <tableColumn id="6" name="8 оц" dataDxfId="150" dataCellStyle="Финансовый 2">
      <calculatedColumnFormula>ROUND(129771.39*1.05,2)</calculatedColumnFormula>
    </tableColumn>
    <tableColumn id="7" name="10 бп" dataDxfId="149" dataCellStyle="Финансовый 2">
      <calculatedColumnFormula>ROUND(122555.35*1.02,2)</calculatedColumnFormula>
    </tableColumn>
    <tableColumn id="8" name="10 оц" dataDxfId="148" dataCellStyle="Финансовый 2">
      <calculatedColumnFormula>ROUND(136259.96*1.02,2)</calculatedColumnFormula>
    </tableColumn>
  </tableColumns>
  <tableStyleInfo showFirstColumn="0" showLastColumn="0" showRowStripes="1" showColumnStripes="0"/>
</table>
</file>

<file path=xl/tables/table64.xml><?xml version="1.0" encoding="utf-8"?>
<table xmlns="http://schemas.openxmlformats.org/spreadsheetml/2006/main" id="79" name="крбDIN1662" displayName="крбDIN1662" ref="B83:I89" totalsRowShown="0" headerRowDxfId="147" dataDxfId="145" headerRowBorderDxfId="146" tableBorderDxfId="144" dataCellStyle="Финансовый 2">
  <autoFilter ref="B83:I8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диаметр" dataDxfId="143" dataCellStyle="Финансовый 2"/>
    <tableColumn id="2" name="длина" dataDxfId="142" dataCellStyle="Финансовый 2"/>
    <tableColumn id="3" name="обычн бп" dataDxfId="141" dataCellStyle="Финансовый 2"/>
    <tableColumn id="4" name="обычн оц" dataDxfId="140" dataCellStyle="Финансовый 2"/>
    <tableColumn id="5" name="8 бп" dataDxfId="139" dataCellStyle="Финансовый 2"/>
    <tableColumn id="6" name="8 оц" dataDxfId="138" dataCellStyle="Финансовый 2"/>
    <tableColumn id="7" name="10 бп" dataDxfId="137" dataCellStyle="Финансовый 2"/>
    <tableColumn id="8" name="10 оц" dataDxfId="136" dataCellStyle="Финансовый 2"/>
  </tableColumns>
  <tableStyleInfo showFirstColumn="0" showLastColumn="0" showRowStripes="1" showColumnStripes="0"/>
</table>
</file>

<file path=xl/tables/table65.xml><?xml version="1.0" encoding="utf-8"?>
<table xmlns="http://schemas.openxmlformats.org/spreadsheetml/2006/main" id="26" name="крбГ52644" displayName="крбГ52644" ref="B35:F45" totalsRowShown="0" headerRowDxfId="135" dataDxfId="133" headerRowBorderDxfId="134" tableBorderDxfId="132">
  <autoFilter ref="B35:F45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диаметр" dataDxfId="131" dataCellStyle="Финансовый 2"/>
    <tableColumn id="2" name="длина" dataDxfId="130"/>
    <tableColumn id="3" name="обычн оц" dataDxfId="129"/>
    <tableColumn id="4" name="высок бп" dataDxfId="128"/>
    <tableColumn id="5" name="высок оц" dataDxfId="127"/>
  </tableColumns>
  <tableStyleInfo showFirstColumn="0" showLastColumn="0" showRowStripes="0" showColumnStripes="0"/>
</table>
</file>

<file path=xl/tables/table66.xml><?xml version="1.0" encoding="utf-8"?>
<table xmlns="http://schemas.openxmlformats.org/spreadsheetml/2006/main" id="27" name="крбГ22353" displayName="крбГ22353" ref="B54:F56" totalsRowShown="0" headerRowDxfId="126" dataDxfId="124" headerRowBorderDxfId="125" tableBorderDxfId="123">
  <autoFilter ref="B54:F56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диаметр" dataDxfId="122"/>
    <tableColumn id="2" name="длина" dataDxfId="121"/>
    <tableColumn id="3" name="обычн оц" dataDxfId="120"/>
    <tableColumn id="4" name="высок бп" dataDxfId="119" dataCellStyle="Обычный_Сборник цен 2009 12"/>
    <tableColumn id="5" name="высок оц" dataDxfId="118" dataCellStyle="Обычный_Сборник цен 2009 12"/>
  </tableColumns>
  <tableStyleInfo showFirstColumn="0" showLastColumn="0" showRowStripes="0" showColumnStripes="0"/>
</table>
</file>

<file path=xl/tables/table67.xml><?xml version="1.0" encoding="utf-8"?>
<table xmlns="http://schemas.openxmlformats.org/spreadsheetml/2006/main" id="29" name="кргГ5915" displayName="кргГ5915" ref="B5:H16" totalsRowShown="0" headerRowDxfId="117" dataDxfId="115" headerRowBorderDxfId="116" tableBorderDxfId="114" totalsRowBorderDxfId="113" headerRowCellStyle="Финансовый" dataCellStyle="Финансовый">
  <autoFilter ref="B5:H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диаметр" dataDxfId="112" dataCellStyle="Финансовый"/>
    <tableColumn id="2" name="обычн бп" dataDxfId="111" dataCellStyle="Финансовый"/>
    <tableColumn id="3" name="обычн оц" dataDxfId="110" dataCellStyle="Финансовый"/>
    <tableColumn id="4" name="8 бп" dataDxfId="109" dataCellStyle="Финансовый"/>
    <tableColumn id="5" name="8 оц" dataDxfId="108" dataCellStyle="Финансовый"/>
    <tableColumn id="6" name="10 бп" dataDxfId="107" dataCellStyle="Финансовый"/>
    <tableColumn id="7" name="10 оц" dataDxfId="106" dataCellStyle="Финансовый"/>
  </tableColumns>
  <tableStyleInfo showFirstColumn="0" showLastColumn="0" showRowStripes="0" showColumnStripes="0"/>
</table>
</file>

<file path=xl/tables/table68.xml><?xml version="1.0" encoding="utf-8"?>
<table xmlns="http://schemas.openxmlformats.org/spreadsheetml/2006/main" id="30" name="кргГ5915кл6м" displayName="кргГ5915кл6м" ref="B17:D24" totalsRowShown="0" headerRowDxfId="105" dataDxfId="103" headerRowBorderDxfId="104" tableBorderDxfId="102" totalsRowBorderDxfId="101">
  <autoFilter ref="B17:D24">
    <filterColumn colId="0" hiddenButton="1"/>
    <filterColumn colId="1" hiddenButton="1"/>
    <filterColumn colId="2" hiddenButton="1"/>
  </autoFilter>
  <tableColumns count="3">
    <tableColumn id="1" name="диаметр" dataDxfId="100" dataCellStyle="Финансовый"/>
    <tableColumn id="2" name="обычн бп" dataDxfId="99" dataCellStyle="Финансовый">
      <calculatedColumnFormula>E10*1.05</calculatedColumnFormula>
    </tableColumn>
    <tableColumn id="3" name="обычн оц" dataDxfId="98" dataCellStyle="Финансовый">
      <calculatedColumnFormula>F10*1.05</calculatedColumnFormula>
    </tableColumn>
  </tableColumns>
  <tableStyleInfo showFirstColumn="0" showLastColumn="0" showRowStripes="0" showColumnStripes="0"/>
</table>
</file>

<file path=xl/tables/table69.xml><?xml version="1.0" encoding="utf-8"?>
<table xmlns="http://schemas.openxmlformats.org/spreadsheetml/2006/main" id="32" name="кргГ52645" displayName="кргГ52645" ref="B47:F51" totalsRowShown="0" headerRowDxfId="97" dataDxfId="95" headerRowBorderDxfId="96" tableBorderDxfId="94" totalsRowBorderDxfId="93">
  <autoFilter ref="B47:F51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диаметр" dataDxfId="92" dataCellStyle="Финансовый"/>
    <tableColumn id="2" name="обычн бп" dataDxfId="91"/>
    <tableColumn id="3" name="обычн оц" dataDxfId="90"/>
    <tableColumn id="4" name="высок бп" dataDxfId="89" dataCellStyle="Обычный_Сборник цен 2009 12"/>
    <tableColumn id="5" name="высок оц" dataDxfId="88" dataCellStyle="Обычный_Сборник цен 2009 12"/>
  </tableColumns>
  <tableStyleInfo showFirstColumn="0" showLastColumn="0" showRowStripes="0" showColumnStripes="0"/>
</table>
</file>

<file path=xl/tables/table7.xml><?xml version="1.0" encoding="utf-8"?>
<table xmlns="http://schemas.openxmlformats.org/spreadsheetml/2006/main" id="45" name="првТС089" displayName="првТС089" ref="B51:C53" totalsRowShown="0" headerRowDxfId="633" dataDxfId="631" headerRowBorderDxfId="632" tableBorderDxfId="630" totalsRowBorderDxfId="629">
  <autoFilter ref="B51:C53">
    <filterColumn colId="0" hiddenButton="1"/>
    <filterColumn colId="1" hiddenButton="1"/>
  </autoFilter>
  <tableColumns count="2">
    <tableColumn id="1" name="диаметр" dataDxfId="628" dataCellStyle="Обычный_Базовые цены на специфичную продукцию"/>
    <tableColumn id="2" name="цена" dataDxfId="627"/>
  </tableColumns>
  <tableStyleInfo showFirstColumn="0" showLastColumn="0" showRowStripes="0" showColumnStripes="0"/>
</table>
</file>

<file path=xl/tables/table70.xml><?xml version="1.0" encoding="utf-8"?>
<table xmlns="http://schemas.openxmlformats.org/spreadsheetml/2006/main" id="33" name="кргГ22354" displayName="кргГ22354" ref="B58:F59" totalsRowShown="0" headerRowDxfId="87" dataDxfId="85" headerRowBorderDxfId="86" tableBorderDxfId="84" totalsRowBorderDxfId="83">
  <autoFilter ref="B58:F59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диаметр" dataDxfId="82" dataCellStyle="Финансовый"/>
    <tableColumn id="2" name="обычн бп" dataDxfId="81"/>
    <tableColumn id="3" name="обычн оц" dataDxfId="80"/>
    <tableColumn id="4" name="высок бп" dataDxfId="79" dataCellStyle="Обычный_Сборник цен 2009 12">
      <calculatedColumnFormula>ROUND(153016.45*1.05,2)</calculatedColumnFormula>
    </tableColumn>
    <tableColumn id="5" name="высок оц" dataDxfId="78" dataCellStyle="Обычный_Сборник цен 2009 12">
      <calculatedColumnFormula>ROUND(200534.24*1.05,2)</calculatedColumnFormula>
    </tableColumn>
  </tableColumns>
  <tableStyleInfo showFirstColumn="0" showLastColumn="0" showRowStripes="0" showColumnStripes="0"/>
</table>
</file>

<file path=xl/tables/table71.xml><?xml version="1.0" encoding="utf-8"?>
<table xmlns="http://schemas.openxmlformats.org/spreadsheetml/2006/main" id="34" name="кршГ52646" displayName="кршГ52646" ref="B61:F62" totalsRowShown="0" headerRowDxfId="77" dataDxfId="75" headerRowBorderDxfId="76" tableBorderDxfId="74" totalsRowBorderDxfId="73" headerRowCellStyle="Финансовый" dataCellStyle="Финансовый">
  <autoFilter ref="B61:F6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диаметр" dataDxfId="72" dataCellStyle="Финансовый"/>
    <tableColumn id="2" name="обычн бп" dataDxfId="71" dataCellStyle="Финансовый"/>
    <tableColumn id="3" name="обычн оц" dataDxfId="70" dataCellStyle="Финансовый"/>
    <tableColumn id="4" name=" бп" dataDxfId="69" dataCellStyle="Финансовый">
      <calculatedColumnFormula>ROUND(197231.83*1.05,2)</calculatedColumnFormula>
    </tableColumn>
    <tableColumn id="5" name=" оц" dataDxfId="68" dataCellStyle="Финансовый">
      <calculatedColumnFormula>ROUND(235161.03*1.05,2)</calculatedColumnFormula>
    </tableColumn>
  </tableColumns>
  <tableStyleInfo showFirstColumn="0" showLastColumn="0" showRowStripes="0" showColumnStripes="0"/>
</table>
</file>

<file path=xl/tables/table72.xml><?xml version="1.0" encoding="utf-8"?>
<table xmlns="http://schemas.openxmlformats.org/spreadsheetml/2006/main" id="35" name="кршГ6402" displayName="кршГ6402" ref="B67:D82" totalsRowShown="0" headerRowDxfId="67" dataDxfId="65" headerRowBorderDxfId="66" tableBorderDxfId="64" totalsRowBorderDxfId="63">
  <autoFilter ref="B67:D82">
    <filterColumn colId="0" hiddenButton="1"/>
    <filterColumn colId="1" hiddenButton="1"/>
    <filterColumn colId="2" hiddenButton="1"/>
  </autoFilter>
  <tableColumns count="3">
    <tableColumn id="1" name="диаметр" dataDxfId="62" dataCellStyle="Финансовый"/>
    <tableColumn id="2" name=" бп" dataDxfId="61" dataCellStyle="Финансовый"/>
    <tableColumn id="3" name=" оц" dataDxfId="60" dataCellStyle="Финансовый"/>
  </tableColumns>
  <tableStyleInfo showFirstColumn="0" showLastColumn="0" showRowStripes="0" showColumnStripes="0"/>
</table>
</file>

<file path=xl/tables/table73.xml><?xml version="1.0" encoding="utf-8"?>
<table xmlns="http://schemas.openxmlformats.org/spreadsheetml/2006/main" id="82" name="кргГ50592" displayName="кргГ50592" ref="B28:H31" totalsRowShown="0" headerRowDxfId="59" dataDxfId="57" headerRowBorderDxfId="58" tableBorderDxfId="56" totalsRowBorderDxfId="55" dataCellStyle="Финансовый">
  <autoFilter ref="B28:H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диаметр" dataDxfId="54" dataCellStyle="Финансовый"/>
    <tableColumn id="2" name="обычн бп" dataDxfId="53" dataCellStyle="Финансовый"/>
    <tableColumn id="3" name="обычн оц" dataDxfId="52" dataCellStyle="Финансовый"/>
    <tableColumn id="4" name="8 бп" dataDxfId="51" dataCellStyle="Финансовый"/>
    <tableColumn id="5" name="8 оц" dataDxfId="50" dataCellStyle="Финансовый"/>
    <tableColumn id="6" name="10 бп" dataDxfId="49" dataCellStyle="Финансовый"/>
    <tableColumn id="7" name="10 оц" dataDxfId="48" dataCellStyle="Финансовый"/>
  </tableColumns>
  <tableStyleInfo showFirstColumn="0" showLastColumn="0" showRowStripes="0" showColumnStripes="0"/>
</table>
</file>

<file path=xl/tables/table74.xml><?xml version="1.0" encoding="utf-8"?>
<table xmlns="http://schemas.openxmlformats.org/spreadsheetml/2006/main" id="8" name="крГ397" displayName="крГ397" ref="B5:D17" totalsRowShown="0" headerRowDxfId="47" dataDxfId="45" headerRowBorderDxfId="46" tableBorderDxfId="44" totalsRowBorderDxfId="43">
  <autoFilter ref="B5:D17">
    <filterColumn colId="0" hiddenButton="1"/>
    <filterColumn colId="1" hiddenButton="1"/>
    <filterColumn colId="2" hiddenButton="1"/>
  </autoFilter>
  <tableColumns count="3">
    <tableColumn id="1" name="диаметр" dataDxfId="42" dataCellStyle="Финансовый"/>
    <tableColumn id="2" name=" бп" dataDxfId="41" dataCellStyle="Финансовый"/>
    <tableColumn id="3" name=" оц" dataDxfId="40" dataCellStyle="Финансовый"/>
  </tableColumns>
  <tableStyleInfo showFirstColumn="0" showLastColumn="0" showRowStripes="0" showColumnStripes="0"/>
</table>
</file>

<file path=xl/tables/table75.xml><?xml version="1.0" encoding="utf-8"?>
<table xmlns="http://schemas.openxmlformats.org/spreadsheetml/2006/main" id="11" name="крзГ10299" displayName="крзГ10299" ref="B20:D26" totalsRowShown="0" headerRowDxfId="39" dataDxfId="37" headerRowBorderDxfId="38" tableBorderDxfId="36" totalsRowBorderDxfId="35">
  <autoFilter ref="B20:D26">
    <filterColumn colId="0" hiddenButton="1"/>
    <filterColumn colId="1" hiddenButton="1"/>
    <filterColumn colId="2" hiddenButton="1"/>
  </autoFilter>
  <tableColumns count="3">
    <tableColumn id="1" name="диаметр" dataDxfId="34" dataCellStyle="Финансовый"/>
    <tableColumn id="2" name=" бп" dataDxfId="33" dataCellStyle="Финансовый"/>
    <tableColumn id="3" name=" оц" dataDxfId="32" dataCellStyle="Финансовый"/>
  </tableColumns>
  <tableStyleInfo showFirstColumn="0" showLastColumn="0" showRowStripes="0" showColumnStripes="0"/>
</table>
</file>

<file path=xl/tables/table76.xml><?xml version="1.0" encoding="utf-8"?>
<table xmlns="http://schemas.openxmlformats.org/spreadsheetml/2006/main" id="28" name="крзГ10304" displayName="крзГ10304" ref="B42:D43" totalsRowShown="0" headerRowDxfId="31" dataDxfId="29" headerRowBorderDxfId="30" tableBorderDxfId="28" totalsRowBorderDxfId="27">
  <autoFilter ref="B42:D43">
    <filterColumn colId="0" hiddenButton="1"/>
    <filterColumn colId="1" hiddenButton="1"/>
    <filterColumn colId="2" hiddenButton="1"/>
  </autoFilter>
  <tableColumns count="3">
    <tableColumn id="1" name="диаметр" dataDxfId="26" dataCellStyle="Финансовый"/>
    <tableColumn id="2" name=" бп" dataDxfId="25" dataCellStyle="Финансовый">
      <calculatedColumnFormula>ROUND(95161.65*1.02,2)</calculatedColumnFormula>
    </tableColumn>
    <tableColumn id="3" name=" оц" dataDxfId="24" dataCellStyle="Финансовый">
      <calculatedColumnFormula>ROUND(110048.92*1.02,2)</calculatedColumnFormula>
    </tableColumn>
  </tableColumns>
  <tableStyleInfo showFirstColumn="0" showLastColumn="0" showRowStripes="0" showColumnStripes="0"/>
</table>
</file>

<file path=xl/tables/table77.xml><?xml version="1.0" encoding="utf-8"?>
<table xmlns="http://schemas.openxmlformats.org/spreadsheetml/2006/main" id="36" name="крзГ10300" displayName="крзГ10300" ref="B29:D35" totalsRowShown="0" headerRowDxfId="23" dataDxfId="21" headerRowBorderDxfId="22" tableBorderDxfId="20" totalsRowBorderDxfId="19">
  <autoFilter ref="B29:D35">
    <filterColumn colId="0" hiddenButton="1"/>
    <filterColumn colId="1" hiddenButton="1"/>
    <filterColumn colId="2" hiddenButton="1"/>
  </autoFilter>
  <tableColumns count="3">
    <tableColumn id="1" name="диаметр" dataDxfId="18" dataCellStyle="Финансовый"/>
    <tableColumn id="2" name=" бп" dataDxfId="17" dataCellStyle="Финансовый"/>
    <tableColumn id="3" name=" оц" dataDxfId="16" dataCellStyle="Финансовый"/>
  </tableColumns>
  <tableStyleInfo showFirstColumn="0" showLastColumn="0" showRowStripes="0" showColumnStripes="0"/>
</table>
</file>

<file path=xl/tables/table78.xml><?xml version="1.0" encoding="utf-8"?>
<table xmlns="http://schemas.openxmlformats.org/spreadsheetml/2006/main" id="38" name="крзТУ328" displayName="крзТУ328" ref="B46:D47" totalsRowShown="0" headerRowDxfId="15" dataDxfId="13" headerRowBorderDxfId="14" tableBorderDxfId="12" totalsRowBorderDxfId="11">
  <autoFilter ref="B46:D47">
    <filterColumn colId="0" hiddenButton="1"/>
    <filterColumn colId="1" hiddenButton="1"/>
    <filterColumn colId="2" hiddenButton="1"/>
  </autoFilter>
  <tableColumns count="3">
    <tableColumn id="1" name="диаметр" dataDxfId="10" dataCellStyle="Финансовый"/>
    <tableColumn id="2" name=" бп" dataDxfId="9" dataCellStyle="Финансовый">
      <calculatedColumnFormula>ROUND(91560*1.02,2)</calculatedColumnFormula>
    </tableColumn>
    <tableColumn id="3" name=" оц" dataDxfId="8" dataCellStyle="Финансовый">
      <calculatedColumnFormula>ROUND(107736.51*1.02,2)</calculatedColumnFormula>
    </tableColumn>
  </tableColumns>
  <tableStyleInfo showFirstColumn="0" showLastColumn="0" showRowStripes="0" showColumnStripes="0"/>
</table>
</file>

<file path=xl/tables/table79.xml><?xml version="1.0" encoding="utf-8"?>
<table xmlns="http://schemas.openxmlformats.org/spreadsheetml/2006/main" id="39" name="крзГ10301" displayName="крзГ10301" ref="B38:D39" totalsRowShown="0" headerRowDxfId="7" dataDxfId="5" headerRowBorderDxfId="6" tableBorderDxfId="4" totalsRowBorderDxfId="3">
  <autoFilter ref="B38:D39">
    <filterColumn colId="0" hiddenButton="1"/>
    <filterColumn colId="1" hiddenButton="1"/>
    <filterColumn colId="2" hiddenButton="1"/>
  </autoFilter>
  <tableColumns count="3">
    <tableColumn id="1" name="диаметр" dataDxfId="2" dataCellStyle="Финансовый"/>
    <tableColumn id="2" name=" бп" dataDxfId="1" dataCellStyle="Финансовый">
      <calculatedColumnFormula>ROUND(89777.46*1.02,2)</calculatedColumnFormula>
    </tableColumn>
    <tableColumn id="3" name=" оц" dataDxfId="0" dataCellStyle="Финансовый">
      <calculatedColumnFormula>ROUND(105953.96*1.02,2)</calculatedColumnFormula>
    </tableColumn>
  </tableColumns>
  <tableStyleInfo showFirstColumn="0" showLastColumn="0" showRowStripes="0" showColumnStripes="0"/>
</table>
</file>

<file path=xl/tables/table8.xml><?xml version="1.0" encoding="utf-8"?>
<table xmlns="http://schemas.openxmlformats.org/spreadsheetml/2006/main" id="46" name="првТУ290" displayName="првТУ290" ref="B58:F60" totalsRowShown="0" headerRowDxfId="626" dataDxfId="624" headerRowBorderDxfId="625" tableBorderDxfId="623" totalsRowBorderDxfId="622">
  <autoFilter ref="B58:F6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диаметр" dataDxfId="621" dataCellStyle="Обычный_Базовые цены на специфичную продукцию"/>
    <tableColumn id="2" name="БпПНД" dataDxfId="620">
      <calculatedColumnFormula>ROUND(73501.7+4300,2)</calculatedColumnFormula>
    </tableColumn>
    <tableColumn id="3" name="БпПВХ" dataDxfId="619">
      <calculatedColumnFormula>ROUND(82586.3+4300,2)</calculatedColumnFormula>
    </tableColumn>
    <tableColumn id="4" name="ОцПНД" dataDxfId="618"/>
    <tableColumn id="5" name="ОцПВХ" dataDxfId="617"/>
  </tableColumns>
  <tableStyleInfo showFirstColumn="0" showLastColumn="0" showRowStripes="0" showColumnStripes="0"/>
</table>
</file>

<file path=xl/tables/table9.xml><?xml version="1.0" encoding="utf-8"?>
<table xmlns="http://schemas.openxmlformats.org/spreadsheetml/2006/main" id="73" name="приплПрвГ3282" displayName="приплПрвГ3282" ref="B25:E30" totalsRowShown="0" headerRowDxfId="616" dataDxfId="615" tableBorderDxfId="614">
  <autoFilter ref="B25:E30">
    <filterColumn colId="0" hiddenButton="1"/>
    <filterColumn colId="1" hiddenButton="1"/>
    <filterColumn colId="2" hiddenButton="1"/>
    <filterColumn colId="3" hiddenButton="1"/>
  </autoFilter>
  <tableColumns count="4">
    <tableColumn id="1" name="наимен" dataDxfId="613"/>
    <tableColumn id="2" name="столбец2" dataDxfId="612"/>
    <tableColumn id="3" name="столбец3" dataDxfId="611"/>
    <tableColumn id="4" name="значение" dataDxfId="61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8.xml"/><Relationship Id="rId2" Type="http://schemas.openxmlformats.org/officeDocument/2006/relationships/table" Target="../tables/table47.xml"/><Relationship Id="rId1" Type="http://schemas.openxmlformats.org/officeDocument/2006/relationships/printerSettings" Target="../printerSettings/printerSettings10.bin"/><Relationship Id="rId4" Type="http://schemas.openxmlformats.org/officeDocument/2006/relationships/table" Target="../tables/table4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1.xml"/><Relationship Id="rId2" Type="http://schemas.openxmlformats.org/officeDocument/2006/relationships/table" Target="../tables/table50.xml"/><Relationship Id="rId1" Type="http://schemas.openxmlformats.org/officeDocument/2006/relationships/printerSettings" Target="../printerSettings/printerSettings11.bin"/><Relationship Id="rId4" Type="http://schemas.openxmlformats.org/officeDocument/2006/relationships/table" Target="../tables/table52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9.xml"/><Relationship Id="rId13" Type="http://schemas.openxmlformats.org/officeDocument/2006/relationships/table" Target="../tables/table64.xml"/><Relationship Id="rId3" Type="http://schemas.openxmlformats.org/officeDocument/2006/relationships/table" Target="../tables/table54.xml"/><Relationship Id="rId7" Type="http://schemas.openxmlformats.org/officeDocument/2006/relationships/table" Target="../tables/table58.xml"/><Relationship Id="rId12" Type="http://schemas.openxmlformats.org/officeDocument/2006/relationships/table" Target="../tables/table63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Relationship Id="rId6" Type="http://schemas.openxmlformats.org/officeDocument/2006/relationships/table" Target="../tables/table57.xml"/><Relationship Id="rId11" Type="http://schemas.openxmlformats.org/officeDocument/2006/relationships/table" Target="../tables/table62.xml"/><Relationship Id="rId5" Type="http://schemas.openxmlformats.org/officeDocument/2006/relationships/table" Target="../tables/table56.xml"/><Relationship Id="rId10" Type="http://schemas.openxmlformats.org/officeDocument/2006/relationships/table" Target="../tables/table61.xml"/><Relationship Id="rId4" Type="http://schemas.openxmlformats.org/officeDocument/2006/relationships/table" Target="../tables/table55.xml"/><Relationship Id="rId9" Type="http://schemas.openxmlformats.org/officeDocument/2006/relationships/table" Target="../tables/table60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0.xml"/><Relationship Id="rId3" Type="http://schemas.openxmlformats.org/officeDocument/2006/relationships/table" Target="../tables/table65.xml"/><Relationship Id="rId7" Type="http://schemas.openxmlformats.org/officeDocument/2006/relationships/table" Target="../tables/table69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Relationship Id="rId6" Type="http://schemas.openxmlformats.org/officeDocument/2006/relationships/table" Target="../tables/table68.xml"/><Relationship Id="rId11" Type="http://schemas.openxmlformats.org/officeDocument/2006/relationships/table" Target="../tables/table73.xml"/><Relationship Id="rId5" Type="http://schemas.openxmlformats.org/officeDocument/2006/relationships/table" Target="../tables/table67.xml"/><Relationship Id="rId10" Type="http://schemas.openxmlformats.org/officeDocument/2006/relationships/table" Target="../tables/table72.xml"/><Relationship Id="rId4" Type="http://schemas.openxmlformats.org/officeDocument/2006/relationships/table" Target="../tables/table66.xml"/><Relationship Id="rId9" Type="http://schemas.openxmlformats.org/officeDocument/2006/relationships/table" Target="../tables/table71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9.xml"/><Relationship Id="rId3" Type="http://schemas.openxmlformats.org/officeDocument/2006/relationships/table" Target="../tables/table74.xml"/><Relationship Id="rId7" Type="http://schemas.openxmlformats.org/officeDocument/2006/relationships/table" Target="../tables/table7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Relationship Id="rId6" Type="http://schemas.openxmlformats.org/officeDocument/2006/relationships/table" Target="../tables/table77.xml"/><Relationship Id="rId5" Type="http://schemas.openxmlformats.org/officeDocument/2006/relationships/table" Target="../tables/table76.xml"/><Relationship Id="rId4" Type="http://schemas.openxmlformats.org/officeDocument/2006/relationships/table" Target="../tables/table7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5.xml"/><Relationship Id="rId3" Type="http://schemas.openxmlformats.org/officeDocument/2006/relationships/table" Target="../tables/table10.xml"/><Relationship Id="rId7" Type="http://schemas.openxmlformats.org/officeDocument/2006/relationships/table" Target="../tables/table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13.xml"/><Relationship Id="rId5" Type="http://schemas.openxmlformats.org/officeDocument/2006/relationships/table" Target="../tables/table12.xml"/><Relationship Id="rId4" Type="http://schemas.openxmlformats.org/officeDocument/2006/relationships/table" Target="../tables/table11.xml"/><Relationship Id="rId9" Type="http://schemas.openxmlformats.org/officeDocument/2006/relationships/table" Target="../tables/table1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7" Type="http://schemas.openxmlformats.org/officeDocument/2006/relationships/table" Target="../tables/table22.xml"/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21.xml"/><Relationship Id="rId5" Type="http://schemas.openxmlformats.org/officeDocument/2006/relationships/table" Target="../tables/table20.xml"/><Relationship Id="rId4" Type="http://schemas.openxmlformats.org/officeDocument/2006/relationships/table" Target="../tables/table19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9.xml"/><Relationship Id="rId3" Type="http://schemas.openxmlformats.org/officeDocument/2006/relationships/table" Target="../tables/table24.xml"/><Relationship Id="rId7" Type="http://schemas.openxmlformats.org/officeDocument/2006/relationships/table" Target="../tables/table28.xml"/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27.xml"/><Relationship Id="rId5" Type="http://schemas.openxmlformats.org/officeDocument/2006/relationships/table" Target="../tables/table26.xml"/><Relationship Id="rId4" Type="http://schemas.openxmlformats.org/officeDocument/2006/relationships/table" Target="../tables/table25.xml"/><Relationship Id="rId9" Type="http://schemas.openxmlformats.org/officeDocument/2006/relationships/table" Target="../tables/table30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2.xml"/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8.xml"/><Relationship Id="rId3" Type="http://schemas.openxmlformats.org/officeDocument/2006/relationships/table" Target="../tables/table33.xml"/><Relationship Id="rId7" Type="http://schemas.openxmlformats.org/officeDocument/2006/relationships/table" Target="../tables/table3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6" Type="http://schemas.openxmlformats.org/officeDocument/2006/relationships/table" Target="../tables/table36.xml"/><Relationship Id="rId5" Type="http://schemas.openxmlformats.org/officeDocument/2006/relationships/table" Target="../tables/table35.xml"/><Relationship Id="rId4" Type="http://schemas.openxmlformats.org/officeDocument/2006/relationships/table" Target="../tables/table34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4.xml"/><Relationship Id="rId3" Type="http://schemas.openxmlformats.org/officeDocument/2006/relationships/table" Target="../tables/table39.xml"/><Relationship Id="rId7" Type="http://schemas.openxmlformats.org/officeDocument/2006/relationships/table" Target="../tables/table4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Relationship Id="rId6" Type="http://schemas.openxmlformats.org/officeDocument/2006/relationships/table" Target="../tables/table42.xml"/><Relationship Id="rId5" Type="http://schemas.openxmlformats.org/officeDocument/2006/relationships/table" Target="../tables/table41.xml"/><Relationship Id="rId10" Type="http://schemas.openxmlformats.org/officeDocument/2006/relationships/table" Target="../tables/table46.xml"/><Relationship Id="rId4" Type="http://schemas.openxmlformats.org/officeDocument/2006/relationships/table" Target="../tables/table40.xml"/><Relationship Id="rId9" Type="http://schemas.openxmlformats.org/officeDocument/2006/relationships/table" Target="../tables/table4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39"/>
  <sheetViews>
    <sheetView showGridLines="0" showRowColHeaders="0" topLeftCell="A17" zoomScaleNormal="100" zoomScaleSheetLayoutView="100" workbookViewId="0">
      <selection activeCell="D33" sqref="D33"/>
    </sheetView>
  </sheetViews>
  <sheetFormatPr defaultColWidth="0" defaultRowHeight="12.75" zeroHeight="1" x14ac:dyDescent="0.2"/>
  <cols>
    <col min="1" max="10" width="8.42578125" style="13" customWidth="1"/>
    <col min="11" max="16384" width="0" style="13" hidden="1"/>
  </cols>
  <sheetData>
    <row r="1" spans="1:10" x14ac:dyDescent="0.2"/>
    <row r="2" spans="1:10" x14ac:dyDescent="0.2"/>
    <row r="3" spans="1:10" x14ac:dyDescent="0.2"/>
    <row r="4" spans="1:10" x14ac:dyDescent="0.2"/>
    <row r="5" spans="1:10" ht="25.5" x14ac:dyDescent="0.35">
      <c r="A5" s="850"/>
      <c r="B5" s="850" t="s">
        <v>486</v>
      </c>
      <c r="C5" s="850"/>
      <c r="D5" s="850"/>
    </row>
    <row r="6" spans="1:10" x14ac:dyDescent="0.2"/>
    <row r="7" spans="1:10" ht="16.5" x14ac:dyDescent="0.25">
      <c r="G7" s="120"/>
      <c r="H7" s="120"/>
    </row>
    <row r="8" spans="1:10" ht="15" x14ac:dyDescent="0.2">
      <c r="G8" s="121"/>
      <c r="I8" s="121"/>
      <c r="J8" s="121"/>
    </row>
    <row r="9" spans="1:10" ht="15" x14ac:dyDescent="0.2">
      <c r="G9" s="121"/>
      <c r="I9" s="121"/>
      <c r="J9" s="121"/>
    </row>
    <row r="10" spans="1:10" ht="15" x14ac:dyDescent="0.2">
      <c r="H10" s="121"/>
      <c r="I10" s="121"/>
      <c r="J10" s="121"/>
    </row>
    <row r="11" spans="1:10" ht="15" x14ac:dyDescent="0.2">
      <c r="G11" s="121"/>
      <c r="H11" s="121"/>
      <c r="I11" s="121"/>
      <c r="J11" s="122"/>
    </row>
    <row r="12" spans="1:10" ht="15" x14ac:dyDescent="0.2">
      <c r="G12" s="121"/>
      <c r="H12" s="121"/>
      <c r="I12" s="121"/>
      <c r="J12" s="121"/>
    </row>
    <row r="13" spans="1:10" ht="15" x14ac:dyDescent="0.2">
      <c r="G13" s="121"/>
      <c r="H13" s="123"/>
      <c r="I13" s="124"/>
      <c r="J13" s="121"/>
    </row>
    <row r="14" spans="1:10" x14ac:dyDescent="0.2"/>
    <row r="15" spans="1:10" x14ac:dyDescent="0.2"/>
    <row r="16" spans="1:10" x14ac:dyDescent="0.2"/>
    <row r="17" spans="1:10" x14ac:dyDescent="0.2"/>
    <row r="18" spans="1:10" x14ac:dyDescent="0.2"/>
    <row r="19" spans="1:10" x14ac:dyDescent="0.2"/>
    <row r="20" spans="1:10" x14ac:dyDescent="0.2">
      <c r="C20" s="40"/>
      <c r="D20" s="40"/>
      <c r="E20" s="40"/>
      <c r="F20" s="40"/>
      <c r="G20" s="40"/>
      <c r="H20" s="40"/>
      <c r="I20" s="40"/>
    </row>
    <row r="21" spans="1:10" ht="27.75" x14ac:dyDescent="0.4">
      <c r="C21" s="40"/>
      <c r="D21" s="40"/>
      <c r="E21" s="40"/>
      <c r="F21" s="125"/>
      <c r="G21" s="40"/>
      <c r="H21" s="40"/>
      <c r="I21" s="40"/>
    </row>
    <row r="22" spans="1:10" ht="18" hidden="1" x14ac:dyDescent="0.25">
      <c r="C22" s="40"/>
      <c r="D22" s="40"/>
      <c r="E22" s="40"/>
      <c r="F22" s="126" t="s">
        <v>48</v>
      </c>
      <c r="G22" s="40"/>
      <c r="H22" s="40"/>
      <c r="I22" s="40"/>
    </row>
    <row r="23" spans="1:10" ht="20.25" x14ac:dyDescent="0.3">
      <c r="A23" s="342" t="s">
        <v>257</v>
      </c>
      <c r="B23" s="342"/>
      <c r="C23" s="342"/>
      <c r="D23" s="342"/>
      <c r="E23" s="342"/>
      <c r="F23" s="342"/>
      <c r="G23" s="342"/>
      <c r="H23" s="342"/>
      <c r="I23" s="342"/>
      <c r="J23" s="342"/>
    </row>
    <row r="24" spans="1:10" ht="20.25" x14ac:dyDescent="0.3">
      <c r="A24" s="342" t="s">
        <v>482</v>
      </c>
      <c r="B24" s="342"/>
      <c r="C24" s="342"/>
      <c r="D24" s="342"/>
      <c r="E24" s="342"/>
      <c r="F24" s="342"/>
      <c r="G24" s="342"/>
      <c r="H24" s="342"/>
      <c r="I24" s="342"/>
      <c r="J24" s="342"/>
    </row>
    <row r="25" spans="1:10" x14ac:dyDescent="0.2">
      <c r="C25" s="40"/>
      <c r="D25" s="40"/>
      <c r="E25" s="40"/>
      <c r="G25" s="40"/>
      <c r="H25" s="40"/>
      <c r="I25" s="40"/>
    </row>
    <row r="26" spans="1:10" x14ac:dyDescent="0.2">
      <c r="C26" s="127"/>
      <c r="D26" s="40"/>
      <c r="E26" s="40"/>
      <c r="G26" s="40"/>
      <c r="H26" s="40"/>
      <c r="I26" s="40"/>
    </row>
    <row r="27" spans="1:10" x14ac:dyDescent="0.2">
      <c r="E27" s="47"/>
    </row>
    <row r="28" spans="1:10" x14ac:dyDescent="0.2">
      <c r="E28" s="47"/>
    </row>
    <row r="29" spans="1:10" x14ac:dyDescent="0.2"/>
    <row r="30" spans="1:10" x14ac:dyDescent="0.2"/>
    <row r="31" spans="1:10" x14ac:dyDescent="0.2"/>
    <row r="32" spans="1:10" x14ac:dyDescent="0.2"/>
    <row r="33" spans="8:8" x14ac:dyDescent="0.2"/>
    <row r="34" spans="8:8" x14ac:dyDescent="0.2"/>
    <row r="35" spans="8:8" x14ac:dyDescent="0.2"/>
    <row r="36" spans="8:8" x14ac:dyDescent="0.2">
      <c r="H36" s="851" t="s">
        <v>487</v>
      </c>
    </row>
    <row r="37" spans="8:8" x14ac:dyDescent="0.2">
      <c r="H37" s="851" t="s">
        <v>488</v>
      </c>
    </row>
    <row r="38" spans="8:8" x14ac:dyDescent="0.2">
      <c r="H38" s="851" t="s">
        <v>489</v>
      </c>
    </row>
    <row r="39" spans="8:8" x14ac:dyDescent="0.2"/>
  </sheetData>
  <phoneticPr fontId="0" type="noConversion"/>
  <printOptions horizontalCentered="1"/>
  <pageMargins left="0.70866141732283472" right="0.74803149606299213" top="0.94488188976377963" bottom="0.59055118110236227" header="0.43307086614173229" footer="0.39370078740157483"/>
  <pageSetup paperSize="9" scale="94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G89"/>
  <sheetViews>
    <sheetView showGridLines="0" showRowColHeaders="0" view="pageBreakPreview" zoomScaleNormal="75" zoomScaleSheetLayoutView="100" workbookViewId="0"/>
  </sheetViews>
  <sheetFormatPr defaultColWidth="8.85546875" defaultRowHeight="12.75" x14ac:dyDescent="0.2"/>
  <cols>
    <col min="1" max="1" width="5.7109375" style="77" customWidth="1"/>
    <col min="2" max="5" width="14.28515625" style="77" customWidth="1"/>
    <col min="6" max="6" width="9.5703125" style="77" bestFit="1" customWidth="1"/>
    <col min="7" max="16384" width="8.85546875" style="77"/>
  </cols>
  <sheetData>
    <row r="1" spans="1:6" x14ac:dyDescent="0.2">
      <c r="B1" s="78"/>
      <c r="D1" s="78"/>
      <c r="F1" s="31" t="s">
        <v>162</v>
      </c>
    </row>
    <row r="2" spans="1:6" ht="13.15" customHeight="1" x14ac:dyDescent="0.2">
      <c r="A2" s="156"/>
      <c r="B2" s="278" t="s">
        <v>200</v>
      </c>
      <c r="C2" s="278"/>
      <c r="D2" s="278"/>
      <c r="E2" s="278"/>
    </row>
    <row r="3" spans="1:6" x14ac:dyDescent="0.2">
      <c r="D3" s="78"/>
      <c r="E3" s="16">
        <v>43332</v>
      </c>
      <c r="F3" s="79"/>
    </row>
    <row r="4" spans="1:6" x14ac:dyDescent="0.2">
      <c r="B4" s="279" t="s">
        <v>201</v>
      </c>
      <c r="C4" s="280"/>
      <c r="D4" s="281" t="s">
        <v>202</v>
      </c>
      <c r="E4" s="282"/>
    </row>
    <row r="5" spans="1:6" ht="25.5" x14ac:dyDescent="0.2">
      <c r="A5" s="80"/>
      <c r="B5" s="271" t="s">
        <v>203</v>
      </c>
      <c r="C5" s="272" t="s">
        <v>204</v>
      </c>
      <c r="D5" s="273" t="s">
        <v>205</v>
      </c>
      <c r="E5" s="274" t="s">
        <v>317</v>
      </c>
      <c r="F5" s="13"/>
    </row>
    <row r="6" spans="1:6" x14ac:dyDescent="0.2">
      <c r="A6" s="80"/>
      <c r="B6" s="268">
        <v>2.1</v>
      </c>
      <c r="C6" s="98">
        <v>27</v>
      </c>
      <c r="D6" s="99">
        <v>0</v>
      </c>
      <c r="E6" s="270">
        <v>86</v>
      </c>
      <c r="F6" s="81"/>
    </row>
    <row r="7" spans="1:6" x14ac:dyDescent="0.2">
      <c r="A7" s="80"/>
      <c r="B7" s="268">
        <v>2.1</v>
      </c>
      <c r="C7" s="98">
        <v>28</v>
      </c>
      <c r="D7" s="99">
        <v>0</v>
      </c>
      <c r="E7" s="270">
        <v>87</v>
      </c>
      <c r="F7" s="81"/>
    </row>
    <row r="8" spans="1:6" x14ac:dyDescent="0.2">
      <c r="A8" s="80"/>
      <c r="B8" s="268">
        <v>2.1</v>
      </c>
      <c r="C8" s="98">
        <v>30</v>
      </c>
      <c r="D8" s="99">
        <v>80</v>
      </c>
      <c r="E8" s="270">
        <v>90</v>
      </c>
      <c r="F8" s="81"/>
    </row>
    <row r="9" spans="1:6" x14ac:dyDescent="0.2">
      <c r="A9" s="80"/>
      <c r="B9" s="268">
        <v>2.1</v>
      </c>
      <c r="C9" s="98">
        <v>32</v>
      </c>
      <c r="D9" s="99">
        <v>81.5</v>
      </c>
      <c r="E9" s="270">
        <v>92.5</v>
      </c>
      <c r="F9" s="81"/>
    </row>
    <row r="10" spans="1:6" x14ac:dyDescent="0.2">
      <c r="A10" s="80"/>
      <c r="B10" s="268">
        <v>2.1</v>
      </c>
      <c r="C10" s="98">
        <v>35</v>
      </c>
      <c r="D10" s="99">
        <v>86.5</v>
      </c>
      <c r="E10" s="270">
        <v>97</v>
      </c>
      <c r="F10" s="81"/>
    </row>
    <row r="11" spans="1:6" x14ac:dyDescent="0.2">
      <c r="A11" s="80"/>
      <c r="B11" s="268">
        <v>2.1</v>
      </c>
      <c r="C11" s="98">
        <v>38</v>
      </c>
      <c r="D11" s="99">
        <v>90</v>
      </c>
      <c r="E11" s="270">
        <v>101</v>
      </c>
      <c r="F11" s="138"/>
    </row>
    <row r="12" spans="1:6" x14ac:dyDescent="0.2">
      <c r="A12" s="80"/>
      <c r="B12" s="268">
        <v>2.1</v>
      </c>
      <c r="C12" s="98">
        <v>40</v>
      </c>
      <c r="D12" s="99">
        <v>92.5</v>
      </c>
      <c r="E12" s="270">
        <v>103</v>
      </c>
      <c r="F12" s="138"/>
    </row>
    <row r="13" spans="1:6" x14ac:dyDescent="0.2">
      <c r="A13" s="80"/>
      <c r="B13" s="268">
        <v>2.1</v>
      </c>
      <c r="C13" s="98">
        <v>45</v>
      </c>
      <c r="D13" s="99">
        <v>99.5</v>
      </c>
      <c r="E13" s="270">
        <v>109.5</v>
      </c>
      <c r="F13" s="138"/>
    </row>
    <row r="14" spans="1:6" x14ac:dyDescent="0.2">
      <c r="A14" s="80"/>
      <c r="B14" s="268">
        <v>2.1</v>
      </c>
      <c r="C14" s="98">
        <v>50</v>
      </c>
      <c r="D14" s="99">
        <v>106.5</v>
      </c>
      <c r="E14" s="270">
        <v>117.5</v>
      </c>
      <c r="F14" s="138"/>
    </row>
    <row r="15" spans="1:6" x14ac:dyDescent="0.2">
      <c r="A15" s="80"/>
      <c r="B15" s="268">
        <v>2.1</v>
      </c>
      <c r="C15" s="98">
        <v>55</v>
      </c>
      <c r="D15" s="99">
        <v>113.5</v>
      </c>
      <c r="E15" s="270">
        <v>124.5</v>
      </c>
      <c r="F15" s="138"/>
    </row>
    <row r="16" spans="1:6" x14ac:dyDescent="0.2">
      <c r="A16" s="80"/>
      <c r="B16" s="268">
        <v>2.2999999999999998</v>
      </c>
      <c r="C16" s="98">
        <v>30</v>
      </c>
      <c r="D16" s="99">
        <v>0</v>
      </c>
      <c r="E16" s="270">
        <v>96.5</v>
      </c>
      <c r="F16" s="81"/>
    </row>
    <row r="17" spans="1:6" x14ac:dyDescent="0.2">
      <c r="A17" s="80"/>
      <c r="B17" s="268">
        <v>2.2999999999999998</v>
      </c>
      <c r="C17" s="98">
        <v>35</v>
      </c>
      <c r="D17" s="99">
        <v>94.5</v>
      </c>
      <c r="E17" s="270">
        <v>104.5</v>
      </c>
      <c r="F17" s="138"/>
    </row>
    <row r="18" spans="1:6" x14ac:dyDescent="0.2">
      <c r="A18" s="80"/>
      <c r="B18" s="268">
        <v>2.2999999999999998</v>
      </c>
      <c r="C18" s="98">
        <v>40</v>
      </c>
      <c r="D18" s="99">
        <v>102.5</v>
      </c>
      <c r="E18" s="270">
        <v>112</v>
      </c>
      <c r="F18" s="81"/>
    </row>
    <row r="19" spans="1:6" x14ac:dyDescent="0.2">
      <c r="A19" s="80"/>
      <c r="B19" s="268">
        <v>2.2999999999999998</v>
      </c>
      <c r="C19" s="98">
        <v>42</v>
      </c>
      <c r="D19" s="99">
        <v>0</v>
      </c>
      <c r="E19" s="270">
        <v>115</v>
      </c>
      <c r="F19" s="81"/>
    </row>
    <row r="20" spans="1:6" x14ac:dyDescent="0.2">
      <c r="A20" s="80"/>
      <c r="B20" s="268">
        <v>2.2999999999999998</v>
      </c>
      <c r="C20" s="98">
        <v>45</v>
      </c>
      <c r="D20" s="99">
        <v>109.5</v>
      </c>
      <c r="E20" s="270">
        <v>120</v>
      </c>
      <c r="F20" s="138"/>
    </row>
    <row r="21" spans="1:6" x14ac:dyDescent="0.2">
      <c r="A21" s="80"/>
      <c r="B21" s="268">
        <v>2.2999999999999998</v>
      </c>
      <c r="C21" s="98">
        <v>50</v>
      </c>
      <c r="D21" s="99">
        <v>118.5</v>
      </c>
      <c r="E21" s="270">
        <v>129.5</v>
      </c>
      <c r="F21" s="138"/>
    </row>
    <row r="22" spans="1:6" x14ac:dyDescent="0.2">
      <c r="A22" s="80"/>
      <c r="B22" s="268">
        <v>2.2999999999999998</v>
      </c>
      <c r="C22" s="98">
        <v>55</v>
      </c>
      <c r="D22" s="99">
        <v>125.5</v>
      </c>
      <c r="E22" s="270">
        <v>136</v>
      </c>
      <c r="F22" s="80"/>
    </row>
    <row r="23" spans="1:6" x14ac:dyDescent="0.2">
      <c r="A23" s="80"/>
      <c r="B23" s="268">
        <v>2.2999999999999998</v>
      </c>
      <c r="C23" s="98">
        <v>57</v>
      </c>
      <c r="D23" s="99">
        <v>127.5</v>
      </c>
      <c r="E23" s="270">
        <v>0</v>
      </c>
      <c r="F23" s="81"/>
    </row>
    <row r="24" spans="1:6" x14ac:dyDescent="0.2">
      <c r="A24" s="80"/>
      <c r="B24" s="269">
        <v>2.2999999999999998</v>
      </c>
      <c r="C24" s="100">
        <v>60</v>
      </c>
      <c r="D24" s="99">
        <v>0</v>
      </c>
      <c r="E24" s="270">
        <v>143</v>
      </c>
      <c r="F24" s="81"/>
    </row>
    <row r="25" spans="1:6" x14ac:dyDescent="0.2">
      <c r="A25" s="80"/>
      <c r="B25" s="269">
        <v>2.2999999999999998</v>
      </c>
      <c r="C25" s="100">
        <v>64</v>
      </c>
      <c r="D25" s="99">
        <v>0</v>
      </c>
      <c r="E25" s="270">
        <v>156.5</v>
      </c>
      <c r="F25" s="81"/>
    </row>
    <row r="26" spans="1:6" x14ac:dyDescent="0.2">
      <c r="A26" s="80"/>
      <c r="B26" s="269">
        <v>2.5</v>
      </c>
      <c r="C26" s="100">
        <v>40</v>
      </c>
      <c r="D26" s="99">
        <v>0</v>
      </c>
      <c r="E26" s="270">
        <v>140</v>
      </c>
      <c r="F26" s="81"/>
    </row>
    <row r="27" spans="1:6" x14ac:dyDescent="0.2">
      <c r="A27" s="80"/>
      <c r="B27" s="269">
        <v>2.5</v>
      </c>
      <c r="C27" s="100">
        <v>45</v>
      </c>
      <c r="D27" s="99">
        <v>0</v>
      </c>
      <c r="E27" s="270">
        <v>149</v>
      </c>
      <c r="F27" s="13"/>
    </row>
    <row r="28" spans="1:6" x14ac:dyDescent="0.2">
      <c r="A28" s="80"/>
      <c r="B28" s="269">
        <v>2.5</v>
      </c>
      <c r="C28" s="100">
        <v>50</v>
      </c>
      <c r="D28" s="99">
        <v>137.5</v>
      </c>
      <c r="E28" s="270">
        <v>156</v>
      </c>
      <c r="F28" s="13"/>
    </row>
    <row r="29" spans="1:6" x14ac:dyDescent="0.2">
      <c r="A29" s="80"/>
      <c r="B29" s="269">
        <v>2.5</v>
      </c>
      <c r="C29" s="100">
        <v>55</v>
      </c>
      <c r="D29" s="99">
        <v>152</v>
      </c>
      <c r="E29" s="270">
        <v>160.5</v>
      </c>
      <c r="F29" s="13"/>
    </row>
    <row r="30" spans="1:6" x14ac:dyDescent="0.2">
      <c r="A30" s="80"/>
      <c r="B30" s="269">
        <v>2.5</v>
      </c>
      <c r="C30" s="100">
        <v>60</v>
      </c>
      <c r="D30" s="99">
        <v>154.5</v>
      </c>
      <c r="E30" s="270">
        <v>168.5</v>
      </c>
      <c r="F30" s="13"/>
    </row>
    <row r="31" spans="1:6" x14ac:dyDescent="0.2">
      <c r="A31" s="80"/>
      <c r="B31" s="269">
        <v>2.5</v>
      </c>
      <c r="C31" s="100">
        <v>64</v>
      </c>
      <c r="D31" s="99">
        <v>165.5</v>
      </c>
      <c r="E31" s="270">
        <v>177</v>
      </c>
      <c r="F31" s="13"/>
    </row>
    <row r="32" spans="1:6" x14ac:dyDescent="0.2">
      <c r="A32" s="80"/>
      <c r="B32" s="269">
        <v>2.5</v>
      </c>
      <c r="C32" s="100">
        <v>68</v>
      </c>
      <c r="D32" s="99">
        <v>169</v>
      </c>
      <c r="E32" s="270">
        <v>183.5</v>
      </c>
      <c r="F32" s="13"/>
    </row>
    <row r="33" spans="1:6" x14ac:dyDescent="0.2">
      <c r="A33" s="80"/>
      <c r="B33" s="269">
        <v>2.5</v>
      </c>
      <c r="C33" s="100">
        <v>70</v>
      </c>
      <c r="D33" s="99">
        <v>179.5</v>
      </c>
      <c r="E33" s="270">
        <v>187</v>
      </c>
      <c r="F33" s="13"/>
    </row>
    <row r="34" spans="1:6" x14ac:dyDescent="0.2">
      <c r="A34" s="80"/>
      <c r="B34" s="269">
        <v>2.5</v>
      </c>
      <c r="C34" s="100">
        <v>75</v>
      </c>
      <c r="D34" s="99">
        <v>0</v>
      </c>
      <c r="E34" s="270">
        <v>195.5</v>
      </c>
      <c r="F34" s="13"/>
    </row>
    <row r="35" spans="1:6" x14ac:dyDescent="0.2">
      <c r="A35" s="80"/>
      <c r="B35" s="269">
        <v>2.5</v>
      </c>
      <c r="C35" s="100">
        <v>80</v>
      </c>
      <c r="D35" s="99">
        <v>191</v>
      </c>
      <c r="E35" s="270">
        <v>206</v>
      </c>
      <c r="F35" s="13"/>
    </row>
    <row r="36" spans="1:6" x14ac:dyDescent="0.2">
      <c r="A36" s="80"/>
      <c r="B36" s="269">
        <v>2.8</v>
      </c>
      <c r="C36" s="100">
        <v>40</v>
      </c>
      <c r="D36" s="99">
        <v>0</v>
      </c>
      <c r="E36" s="270">
        <v>152.5</v>
      </c>
      <c r="F36" s="13"/>
    </row>
    <row r="37" spans="1:6" x14ac:dyDescent="0.2">
      <c r="A37" s="80"/>
      <c r="B37" s="269">
        <v>2.8</v>
      </c>
      <c r="C37" s="100">
        <v>50</v>
      </c>
      <c r="D37" s="99">
        <v>0</v>
      </c>
      <c r="E37" s="270">
        <v>175</v>
      </c>
      <c r="F37" s="13"/>
    </row>
    <row r="38" spans="1:6" x14ac:dyDescent="0.2">
      <c r="A38" s="80"/>
      <c r="B38" s="269">
        <v>2.8</v>
      </c>
      <c r="C38" s="100">
        <v>55</v>
      </c>
      <c r="D38" s="99">
        <v>171.5</v>
      </c>
      <c r="E38" s="270">
        <v>0</v>
      </c>
      <c r="F38" s="133"/>
    </row>
    <row r="39" spans="1:6" x14ac:dyDescent="0.2">
      <c r="A39" s="80"/>
      <c r="B39" s="269">
        <v>2.8</v>
      </c>
      <c r="C39" s="100">
        <v>60</v>
      </c>
      <c r="D39" s="99">
        <v>181</v>
      </c>
      <c r="E39" s="270">
        <v>189.5</v>
      </c>
      <c r="F39" s="13"/>
    </row>
    <row r="40" spans="1:6" x14ac:dyDescent="0.2">
      <c r="A40" s="80"/>
      <c r="B40" s="269">
        <v>2.8</v>
      </c>
      <c r="C40" s="100">
        <v>64</v>
      </c>
      <c r="D40" s="99">
        <v>191.5</v>
      </c>
      <c r="E40" s="270">
        <v>206.5</v>
      </c>
      <c r="F40" s="13"/>
    </row>
    <row r="41" spans="1:6" x14ac:dyDescent="0.2">
      <c r="A41" s="80"/>
      <c r="B41" s="269">
        <v>2.8</v>
      </c>
      <c r="C41" s="100">
        <v>68</v>
      </c>
      <c r="D41" s="99">
        <v>200</v>
      </c>
      <c r="E41" s="270">
        <v>214.5</v>
      </c>
      <c r="F41" s="13"/>
    </row>
    <row r="42" spans="1:6" x14ac:dyDescent="0.2">
      <c r="A42" s="80"/>
      <c r="B42" s="269">
        <v>2.8</v>
      </c>
      <c r="C42" s="100">
        <v>70</v>
      </c>
      <c r="D42" s="99">
        <v>204.5</v>
      </c>
      <c r="E42" s="270">
        <v>219.5</v>
      </c>
      <c r="F42" s="13"/>
    </row>
    <row r="43" spans="1:6" x14ac:dyDescent="0.2">
      <c r="A43" s="80"/>
      <c r="B43" s="269">
        <v>2.8</v>
      </c>
      <c r="C43" s="100">
        <v>75</v>
      </c>
      <c r="D43" s="99">
        <v>0</v>
      </c>
      <c r="E43" s="270">
        <v>230</v>
      </c>
      <c r="F43" s="13"/>
    </row>
    <row r="44" spans="1:6" x14ac:dyDescent="0.2">
      <c r="A44" s="80"/>
      <c r="B44" s="269">
        <v>2.8</v>
      </c>
      <c r="C44" s="100">
        <v>80</v>
      </c>
      <c r="D44" s="99">
        <v>228</v>
      </c>
      <c r="E44" s="270">
        <v>243.5</v>
      </c>
      <c r="F44" s="13"/>
    </row>
    <row r="45" spans="1:6" x14ac:dyDescent="0.2">
      <c r="A45" s="80"/>
      <c r="B45" s="269">
        <v>2.8</v>
      </c>
      <c r="C45" s="100">
        <v>88</v>
      </c>
      <c r="D45" s="99">
        <v>244.5</v>
      </c>
      <c r="E45" s="270">
        <v>260.5</v>
      </c>
      <c r="F45" s="13"/>
    </row>
    <row r="46" spans="1:6" x14ac:dyDescent="0.2">
      <c r="A46" s="80"/>
      <c r="B46" s="269">
        <v>3.1</v>
      </c>
      <c r="C46" s="100">
        <v>42</v>
      </c>
      <c r="D46" s="99">
        <v>162.5</v>
      </c>
      <c r="E46" s="270">
        <v>0</v>
      </c>
      <c r="F46" s="13"/>
    </row>
    <row r="47" spans="1:6" x14ac:dyDescent="0.2">
      <c r="A47" s="80"/>
      <c r="B47" s="269">
        <v>3.1</v>
      </c>
      <c r="C47" s="100">
        <v>50</v>
      </c>
      <c r="D47" s="99">
        <v>192</v>
      </c>
      <c r="E47" s="270">
        <v>0</v>
      </c>
      <c r="F47" s="13"/>
    </row>
    <row r="48" spans="1:6" x14ac:dyDescent="0.2">
      <c r="A48" s="80"/>
      <c r="B48" s="269">
        <v>3.1</v>
      </c>
      <c r="C48" s="100">
        <v>60</v>
      </c>
      <c r="D48" s="99">
        <v>0</v>
      </c>
      <c r="E48" s="270">
        <v>227</v>
      </c>
      <c r="F48" s="13"/>
    </row>
    <row r="49" spans="1:7" x14ac:dyDescent="0.2">
      <c r="A49" s="80"/>
      <c r="B49" s="269">
        <v>3.1</v>
      </c>
      <c r="C49" s="100">
        <v>70</v>
      </c>
      <c r="D49" s="99">
        <v>238</v>
      </c>
      <c r="E49" s="270">
        <v>253.5</v>
      </c>
      <c r="F49" s="13"/>
    </row>
    <row r="50" spans="1:7" x14ac:dyDescent="0.2">
      <c r="A50" s="80"/>
      <c r="B50" s="269">
        <v>3.1</v>
      </c>
      <c r="C50" s="100">
        <v>75</v>
      </c>
      <c r="D50" s="99">
        <v>0</v>
      </c>
      <c r="E50" s="270">
        <v>265.5</v>
      </c>
      <c r="F50" s="13"/>
    </row>
    <row r="51" spans="1:7" x14ac:dyDescent="0.2">
      <c r="A51" s="80"/>
      <c r="B51" s="269">
        <v>3.1</v>
      </c>
      <c r="C51" s="100">
        <v>80</v>
      </c>
      <c r="D51" s="99">
        <v>267</v>
      </c>
      <c r="E51" s="270">
        <v>282.5</v>
      </c>
      <c r="F51" s="13"/>
    </row>
    <row r="52" spans="1:7" x14ac:dyDescent="0.2">
      <c r="A52" s="80"/>
      <c r="B52" s="269">
        <v>3.1</v>
      </c>
      <c r="C52" s="100">
        <v>88</v>
      </c>
      <c r="D52" s="99">
        <v>287.5</v>
      </c>
      <c r="E52" s="270">
        <v>303</v>
      </c>
      <c r="F52" s="13"/>
    </row>
    <row r="53" spans="1:7" x14ac:dyDescent="0.2">
      <c r="A53" s="80"/>
      <c r="B53" s="269">
        <v>3.1</v>
      </c>
      <c r="C53" s="100">
        <v>90</v>
      </c>
      <c r="D53" s="99">
        <v>0</v>
      </c>
      <c r="E53" s="270">
        <v>307.5</v>
      </c>
      <c r="F53" s="13"/>
    </row>
    <row r="54" spans="1:7" x14ac:dyDescent="0.2">
      <c r="A54" s="80"/>
      <c r="B54" s="269">
        <v>3.1</v>
      </c>
      <c r="C54" s="100">
        <v>98</v>
      </c>
      <c r="D54" s="99">
        <v>319.5</v>
      </c>
      <c r="E54" s="270">
        <v>334</v>
      </c>
      <c r="F54" s="13"/>
    </row>
    <row r="55" spans="1:7" x14ac:dyDescent="0.2">
      <c r="A55" s="80"/>
      <c r="B55" s="269">
        <v>3.4</v>
      </c>
      <c r="C55" s="100">
        <v>90</v>
      </c>
      <c r="D55" s="99">
        <v>0</v>
      </c>
      <c r="E55" s="270">
        <v>363.5</v>
      </c>
      <c r="F55" s="13"/>
    </row>
    <row r="56" spans="1:7" x14ac:dyDescent="0.2">
      <c r="B56" s="275">
        <v>3.4</v>
      </c>
      <c r="C56" s="276">
        <v>98</v>
      </c>
      <c r="D56" s="698">
        <v>388</v>
      </c>
      <c r="E56" s="277">
        <v>0</v>
      </c>
      <c r="F56" s="13"/>
    </row>
    <row r="57" spans="1:7" x14ac:dyDescent="0.2">
      <c r="B57" s="103"/>
      <c r="C57" s="104"/>
      <c r="D57" s="105"/>
      <c r="E57" s="105"/>
      <c r="F57" s="13"/>
    </row>
    <row r="58" spans="1:7" x14ac:dyDescent="0.2">
      <c r="F58" s="13"/>
    </row>
    <row r="59" spans="1:7" x14ac:dyDescent="0.2">
      <c r="B59" s="287" t="s">
        <v>0</v>
      </c>
      <c r="C59" s="287"/>
      <c r="D59" s="288" t="s">
        <v>202</v>
      </c>
      <c r="E59" s="289"/>
      <c r="F59" s="13"/>
    </row>
    <row r="60" spans="1:7" x14ac:dyDescent="0.2">
      <c r="B60" s="267" t="s">
        <v>203</v>
      </c>
      <c r="C60" s="97" t="s">
        <v>204</v>
      </c>
      <c r="D60" s="139" t="s">
        <v>205</v>
      </c>
      <c r="E60" s="286" t="s">
        <v>317</v>
      </c>
      <c r="F60" s="13"/>
    </row>
    <row r="61" spans="1:7" x14ac:dyDescent="0.2">
      <c r="B61" s="285">
        <v>2.5</v>
      </c>
      <c r="C61" s="101">
        <v>50</v>
      </c>
      <c r="D61" s="99">
        <v>219</v>
      </c>
      <c r="E61" s="270">
        <v>226.5</v>
      </c>
      <c r="F61" s="13"/>
      <c r="G61" s="13"/>
    </row>
    <row r="62" spans="1:7" x14ac:dyDescent="0.2">
      <c r="B62" s="285">
        <v>2.8</v>
      </c>
      <c r="C62" s="101">
        <v>60</v>
      </c>
      <c r="D62" s="99">
        <v>281.5</v>
      </c>
      <c r="E62" s="270">
        <v>289.5</v>
      </c>
      <c r="F62" s="13"/>
      <c r="G62" s="13"/>
    </row>
    <row r="63" spans="1:7" x14ac:dyDescent="0.2">
      <c r="B63" s="285">
        <v>2.8</v>
      </c>
      <c r="C63" s="101">
        <v>70</v>
      </c>
      <c r="D63" s="99">
        <v>311</v>
      </c>
      <c r="E63" s="270">
        <v>318.5</v>
      </c>
      <c r="F63" s="13"/>
      <c r="G63" s="13"/>
    </row>
    <row r="64" spans="1:7" x14ac:dyDescent="0.2">
      <c r="B64" s="285">
        <v>2.8</v>
      </c>
      <c r="C64" s="101">
        <v>80</v>
      </c>
      <c r="D64" s="99">
        <v>342</v>
      </c>
      <c r="E64" s="270">
        <v>358</v>
      </c>
      <c r="F64" s="13"/>
      <c r="G64" s="13"/>
    </row>
    <row r="65" spans="2:6" x14ac:dyDescent="0.2">
      <c r="B65" s="285">
        <v>3.1</v>
      </c>
      <c r="C65" s="101">
        <v>70</v>
      </c>
      <c r="D65" s="99">
        <v>370</v>
      </c>
      <c r="E65" s="270">
        <v>396.5</v>
      </c>
      <c r="F65" s="13"/>
    </row>
    <row r="66" spans="2:6" x14ac:dyDescent="0.2">
      <c r="B66" s="285">
        <v>3.1</v>
      </c>
      <c r="C66" s="101">
        <v>80</v>
      </c>
      <c r="D66" s="99">
        <v>402.5</v>
      </c>
      <c r="E66" s="270">
        <v>411</v>
      </c>
      <c r="F66" s="13"/>
    </row>
    <row r="67" spans="2:6" x14ac:dyDescent="0.2">
      <c r="B67" s="285">
        <v>3.1</v>
      </c>
      <c r="C67" s="101">
        <v>88</v>
      </c>
      <c r="D67" s="99">
        <v>432.5</v>
      </c>
      <c r="E67" s="270">
        <v>441</v>
      </c>
      <c r="F67" s="13"/>
    </row>
    <row r="68" spans="2:6" x14ac:dyDescent="0.2">
      <c r="B68" s="285">
        <v>3.4</v>
      </c>
      <c r="C68" s="101">
        <v>100</v>
      </c>
      <c r="D68" s="99">
        <v>560</v>
      </c>
      <c r="E68" s="270">
        <v>0</v>
      </c>
      <c r="F68" s="13"/>
    </row>
    <row r="69" spans="2:6" x14ac:dyDescent="0.2">
      <c r="B69" s="285">
        <v>3.8</v>
      </c>
      <c r="C69" s="101">
        <v>100</v>
      </c>
      <c r="D69" s="99">
        <v>717</v>
      </c>
      <c r="E69" s="270">
        <v>0</v>
      </c>
      <c r="F69" s="13"/>
    </row>
    <row r="70" spans="2:6" x14ac:dyDescent="0.2">
      <c r="B70" s="285">
        <v>3.8</v>
      </c>
      <c r="C70" s="101">
        <v>110</v>
      </c>
      <c r="D70" s="99">
        <v>723</v>
      </c>
      <c r="E70" s="270">
        <v>0</v>
      </c>
      <c r="F70" s="13"/>
    </row>
    <row r="71" spans="2:6" x14ac:dyDescent="0.2">
      <c r="B71" s="285">
        <v>3.8</v>
      </c>
      <c r="C71" s="101">
        <v>120</v>
      </c>
      <c r="D71" s="99">
        <v>794.5</v>
      </c>
      <c r="E71" s="270">
        <v>0</v>
      </c>
      <c r="F71" s="13"/>
    </row>
    <row r="72" spans="2:6" x14ac:dyDescent="0.2">
      <c r="B72" s="285">
        <v>3.8</v>
      </c>
      <c r="C72" s="101">
        <v>130</v>
      </c>
      <c r="D72" s="99">
        <v>838.5</v>
      </c>
      <c r="E72" s="270">
        <v>0</v>
      </c>
      <c r="F72" s="13"/>
    </row>
    <row r="73" spans="2:6" x14ac:dyDescent="0.2">
      <c r="B73" s="285">
        <v>4.2</v>
      </c>
      <c r="C73" s="101">
        <v>110</v>
      </c>
      <c r="D73" s="99">
        <v>861.5</v>
      </c>
      <c r="E73" s="270">
        <v>0</v>
      </c>
      <c r="F73" s="13"/>
    </row>
    <row r="74" spans="2:6" x14ac:dyDescent="0.2">
      <c r="B74" s="285">
        <v>4.2</v>
      </c>
      <c r="C74" s="101">
        <v>120</v>
      </c>
      <c r="D74" s="99">
        <v>929.5</v>
      </c>
      <c r="E74" s="270">
        <v>0</v>
      </c>
      <c r="F74" s="13"/>
    </row>
    <row r="75" spans="2:6" x14ac:dyDescent="0.2">
      <c r="B75" s="285">
        <v>4.2</v>
      </c>
      <c r="C75" s="101">
        <v>145</v>
      </c>
      <c r="D75" s="99">
        <v>1100</v>
      </c>
      <c r="E75" s="270">
        <v>0</v>
      </c>
      <c r="F75" s="13"/>
    </row>
    <row r="76" spans="2:6" x14ac:dyDescent="0.2">
      <c r="B76" s="285">
        <v>4.2</v>
      </c>
      <c r="C76" s="101">
        <v>150</v>
      </c>
      <c r="D76" s="99">
        <v>1164.5</v>
      </c>
      <c r="E76" s="270">
        <v>0</v>
      </c>
      <c r="F76" s="13"/>
    </row>
    <row r="77" spans="2:6" x14ac:dyDescent="0.2">
      <c r="B77" s="285">
        <v>4.5999999999999996</v>
      </c>
      <c r="C77" s="101">
        <v>145</v>
      </c>
      <c r="D77" s="99">
        <v>1377</v>
      </c>
      <c r="E77" s="270">
        <v>0</v>
      </c>
      <c r="F77" s="13"/>
    </row>
    <row r="78" spans="2:6" x14ac:dyDescent="0.2">
      <c r="B78" s="290">
        <v>4.5999999999999996</v>
      </c>
      <c r="C78" s="291">
        <v>160</v>
      </c>
      <c r="D78" s="698">
        <v>1495</v>
      </c>
      <c r="E78" s="277">
        <v>0</v>
      </c>
      <c r="F78" s="13"/>
    </row>
    <row r="79" spans="2:6" x14ac:dyDescent="0.2">
      <c r="B79" s="106"/>
      <c r="C79" s="107"/>
      <c r="D79" s="105"/>
      <c r="E79" s="82"/>
      <c r="F79" s="13"/>
    </row>
    <row r="80" spans="2:6" x14ac:dyDescent="0.2">
      <c r="B80" s="106"/>
      <c r="C80" s="107"/>
      <c r="D80" s="105"/>
      <c r="E80" s="82"/>
      <c r="F80" s="13"/>
    </row>
    <row r="81" spans="1:6" x14ac:dyDescent="0.2">
      <c r="E81" s="16">
        <v>43344</v>
      </c>
      <c r="F81" s="13"/>
    </row>
    <row r="82" spans="1:6" x14ac:dyDescent="0.2">
      <c r="B82" s="266" t="s">
        <v>1</v>
      </c>
      <c r="C82" s="266"/>
      <c r="D82" s="283" t="s">
        <v>164</v>
      </c>
      <c r="E82" s="284"/>
      <c r="F82" s="13"/>
    </row>
    <row r="83" spans="1:6" ht="25.5" x14ac:dyDescent="0.2">
      <c r="A83" s="80"/>
      <c r="B83" s="271" t="s">
        <v>203</v>
      </c>
      <c r="C83" s="272" t="s">
        <v>204</v>
      </c>
      <c r="D83" s="273" t="s">
        <v>205</v>
      </c>
      <c r="E83" s="274" t="s">
        <v>317</v>
      </c>
      <c r="F83" s="13"/>
    </row>
    <row r="84" spans="1:6" x14ac:dyDescent="0.2">
      <c r="A84" s="80"/>
      <c r="B84" s="292">
        <v>2.1</v>
      </c>
      <c r="C84" s="102" t="s">
        <v>2</v>
      </c>
      <c r="D84" s="699">
        <v>52513</v>
      </c>
      <c r="E84" s="293">
        <v>63422</v>
      </c>
      <c r="F84" s="13"/>
    </row>
    <row r="85" spans="1:6" x14ac:dyDescent="0.2">
      <c r="A85" s="80"/>
      <c r="B85" s="292">
        <v>2.2000000000000002</v>
      </c>
      <c r="C85" s="128" t="s">
        <v>3</v>
      </c>
      <c r="D85" s="699">
        <v>52704.5</v>
      </c>
      <c r="E85" s="293">
        <v>0</v>
      </c>
      <c r="F85" s="13"/>
    </row>
    <row r="86" spans="1:6" x14ac:dyDescent="0.2">
      <c r="A86" s="80"/>
      <c r="B86" s="292">
        <v>2.2999999999999998</v>
      </c>
      <c r="C86" s="102" t="s">
        <v>4</v>
      </c>
      <c r="D86" s="699">
        <v>50697.5</v>
      </c>
      <c r="E86" s="293">
        <v>0</v>
      </c>
      <c r="F86" s="13"/>
    </row>
    <row r="87" spans="1:6" x14ac:dyDescent="0.2">
      <c r="A87" s="80"/>
      <c r="B87" s="292">
        <v>2.5</v>
      </c>
      <c r="C87" s="102" t="s">
        <v>4</v>
      </c>
      <c r="D87" s="699">
        <v>53544</v>
      </c>
      <c r="E87" s="293">
        <v>61267.5</v>
      </c>
      <c r="F87" s="42"/>
    </row>
    <row r="88" spans="1:6" x14ac:dyDescent="0.2">
      <c r="B88" s="294">
        <v>2.8</v>
      </c>
      <c r="C88" s="295" t="s">
        <v>318</v>
      </c>
      <c r="D88" s="700">
        <v>51765</v>
      </c>
      <c r="E88" s="701">
        <v>57090</v>
      </c>
      <c r="F88" s="111"/>
    </row>
    <row r="89" spans="1:6" x14ac:dyDescent="0.2">
      <c r="E89" s="110"/>
    </row>
  </sheetData>
  <phoneticPr fontId="23" type="noConversion"/>
  <hyperlinks>
    <hyperlink ref="F1" location="'2'!A1" display="Оглавление"/>
  </hyperlinks>
  <printOptions horizontalCentered="1"/>
  <pageMargins left="0.78740157480314965" right="0.78740157480314965" top="0.31496062992125984" bottom="0.23622047244094491" header="3.937007874015748E-2" footer="0.27559055118110237"/>
  <pageSetup paperSize="9" scale="68" orientation="portrait" r:id="rId1"/>
  <headerFooter alignWithMargins="0">
    <oddHeader>&amp;A</oddHeader>
  </headerFooter>
  <tableParts count="3">
    <tablePart r:id="rId2"/>
    <tablePart r:id="rId3"/>
    <tablePart r:id="rId4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L44"/>
  <sheetViews>
    <sheetView showGridLines="0" showRowColHeaders="0" view="pageBreakPreview" zoomScaleNormal="65" zoomScaleSheetLayoutView="100" workbookViewId="0"/>
  </sheetViews>
  <sheetFormatPr defaultColWidth="8.85546875" defaultRowHeight="12.75" x14ac:dyDescent="0.2"/>
  <cols>
    <col min="1" max="1" width="5.7109375" style="13" customWidth="1"/>
    <col min="2" max="2" width="19.28515625" style="19" customWidth="1"/>
    <col min="3" max="3" width="13" style="19" customWidth="1"/>
    <col min="4" max="4" width="12.140625" style="19" customWidth="1"/>
    <col min="5" max="5" width="12.7109375" style="19" customWidth="1"/>
    <col min="6" max="6" width="13.28515625" style="19" customWidth="1"/>
    <col min="7" max="7" width="14.28515625" style="19" customWidth="1"/>
    <col min="8" max="8" width="14.7109375" style="19" customWidth="1"/>
    <col min="9" max="9" width="16.140625" style="13" customWidth="1"/>
    <col min="10" max="10" width="10.7109375" style="13" hidden="1" customWidth="1"/>
    <col min="11" max="11" width="9.28515625" style="13" hidden="1" customWidth="1"/>
    <col min="12" max="16384" width="8.85546875" style="13"/>
  </cols>
  <sheetData>
    <row r="1" spans="1:12" s="6" customFormat="1" x14ac:dyDescent="0.2">
      <c r="B1" s="20"/>
      <c r="C1" s="20"/>
      <c r="D1" s="20"/>
      <c r="E1" s="20"/>
      <c r="F1" s="20"/>
      <c r="G1" s="20"/>
      <c r="H1" s="21"/>
      <c r="I1" s="665">
        <v>43101</v>
      </c>
      <c r="L1" s="31" t="s">
        <v>162</v>
      </c>
    </row>
    <row r="2" spans="1:12" s="6" customFormat="1" ht="18.600000000000001" customHeight="1" x14ac:dyDescent="0.2">
      <c r="B2" s="334" t="s">
        <v>39</v>
      </c>
      <c r="C2" s="334"/>
      <c r="D2" s="334"/>
      <c r="E2" s="334"/>
      <c r="F2" s="334"/>
      <c r="G2" s="334"/>
      <c r="H2" s="334"/>
      <c r="I2" s="334"/>
    </row>
    <row r="3" spans="1:12" s="6" customFormat="1" x14ac:dyDescent="0.2">
      <c r="B3" s="335" t="s">
        <v>171</v>
      </c>
      <c r="C3" s="335"/>
      <c r="D3" s="335"/>
      <c r="E3" s="335"/>
      <c r="F3" s="335"/>
      <c r="G3" s="335"/>
      <c r="H3" s="335"/>
      <c r="I3" s="335"/>
    </row>
    <row r="4" spans="1:12" s="6" customFormat="1" x14ac:dyDescent="0.2">
      <c r="B4" s="335" t="s">
        <v>44</v>
      </c>
      <c r="C4" s="335"/>
      <c r="D4" s="335"/>
      <c r="E4" s="335"/>
      <c r="F4" s="335"/>
      <c r="G4" s="335"/>
      <c r="H4" s="335"/>
      <c r="I4" s="335"/>
    </row>
    <row r="5" spans="1:12" s="6" customFormat="1" ht="15" customHeight="1" x14ac:dyDescent="0.2">
      <c r="A5" s="43"/>
      <c r="B5" s="330" t="s">
        <v>43</v>
      </c>
      <c r="C5" s="733" t="s">
        <v>83</v>
      </c>
      <c r="D5" s="733" t="s">
        <v>180</v>
      </c>
      <c r="E5" s="733" t="s">
        <v>181</v>
      </c>
      <c r="F5" s="733" t="s">
        <v>84</v>
      </c>
      <c r="G5" s="733" t="s">
        <v>85</v>
      </c>
      <c r="H5" s="733" t="s">
        <v>144</v>
      </c>
      <c r="I5" s="733" t="s">
        <v>145</v>
      </c>
      <c r="J5" s="333" t="s">
        <v>114</v>
      </c>
    </row>
    <row r="6" spans="1:12" s="6" customFormat="1" ht="16.149999999999999" customHeight="1" x14ac:dyDescent="0.2">
      <c r="B6" s="341" t="s">
        <v>331</v>
      </c>
      <c r="C6" s="666">
        <f>ROUND(67202.85*1.05,2)</f>
        <v>70562.990000000005</v>
      </c>
      <c r="D6" s="666">
        <f>ROUND(62692.99*1.05,2)</f>
        <v>65827.64</v>
      </c>
      <c r="E6" s="666">
        <f>ROUND(61895.97*1.05,2)</f>
        <v>64990.77</v>
      </c>
      <c r="F6" s="666">
        <f>ROUND(61098.99*1.05,2)</f>
        <v>64153.94</v>
      </c>
      <c r="G6" s="666">
        <f>ROUND(59266*1.05,2)</f>
        <v>62229.3</v>
      </c>
      <c r="H6" s="666">
        <f>ROUND(58044.02*1.05,2)</f>
        <v>60946.22</v>
      </c>
      <c r="I6" s="666">
        <f>ROUND(68187.61*1.05,2)</f>
        <v>71596.990000000005</v>
      </c>
      <c r="J6" s="328">
        <f>I7</f>
        <v>89564.35</v>
      </c>
    </row>
    <row r="7" spans="1:12" s="6" customFormat="1" ht="16.149999999999999" customHeight="1" x14ac:dyDescent="0.2">
      <c r="B7" s="20"/>
      <c r="C7" s="20"/>
      <c r="D7" s="20"/>
      <c r="E7" s="20"/>
      <c r="F7" s="20"/>
      <c r="G7" s="23"/>
      <c r="H7" s="733" t="s">
        <v>114</v>
      </c>
      <c r="I7" s="666">
        <f>ROUND(85299.38*1.05,2)</f>
        <v>89564.35</v>
      </c>
    </row>
    <row r="8" spans="1:12" s="6" customFormat="1" x14ac:dyDescent="0.2">
      <c r="B8" s="20"/>
      <c r="C8" s="20"/>
      <c r="D8" s="20"/>
      <c r="E8" s="20"/>
      <c r="F8" s="20"/>
      <c r="G8" s="23"/>
      <c r="H8" s="23"/>
      <c r="I8" s="24"/>
    </row>
    <row r="9" spans="1:12" s="6" customFormat="1" x14ac:dyDescent="0.2">
      <c r="B9" s="20"/>
      <c r="C9" s="20"/>
      <c r="D9" s="20"/>
      <c r="E9" s="20"/>
      <c r="F9" s="20"/>
      <c r="G9" s="23"/>
      <c r="H9" s="23"/>
      <c r="I9" s="24"/>
    </row>
    <row r="10" spans="1:12" s="6" customFormat="1" x14ac:dyDescent="0.2">
      <c r="B10" s="20"/>
      <c r="C10" s="20"/>
      <c r="D10" s="20"/>
      <c r="E10" s="20"/>
      <c r="F10" s="20"/>
      <c r="G10" s="20"/>
      <c r="H10" s="21"/>
      <c r="I10" s="665">
        <v>43101</v>
      </c>
    </row>
    <row r="11" spans="1:12" s="6" customFormat="1" ht="19.899999999999999" customHeight="1" x14ac:dyDescent="0.2">
      <c r="B11" s="334" t="s">
        <v>40</v>
      </c>
      <c r="C11" s="334"/>
      <c r="D11" s="334"/>
      <c r="E11" s="334"/>
      <c r="F11" s="334"/>
      <c r="G11" s="334"/>
      <c r="H11" s="334"/>
      <c r="I11" s="334"/>
    </row>
    <row r="12" spans="1:12" s="6" customFormat="1" x14ac:dyDescent="0.2">
      <c r="B12" s="335" t="s">
        <v>171</v>
      </c>
      <c r="C12" s="335"/>
      <c r="D12" s="335"/>
      <c r="E12" s="335"/>
      <c r="F12" s="335"/>
      <c r="G12" s="335"/>
      <c r="H12" s="335"/>
      <c r="I12" s="335"/>
    </row>
    <row r="13" spans="1:12" s="6" customFormat="1" x14ac:dyDescent="0.2">
      <c r="B13" s="335" t="s">
        <v>44</v>
      </c>
      <c r="C13" s="335"/>
      <c r="D13" s="335"/>
      <c r="E13" s="335"/>
      <c r="F13" s="335"/>
      <c r="G13" s="335"/>
      <c r="H13" s="335"/>
      <c r="I13" s="335"/>
    </row>
    <row r="14" spans="1:12" s="6" customFormat="1" x14ac:dyDescent="0.2">
      <c r="B14" s="330" t="s">
        <v>43</v>
      </c>
      <c r="C14" s="733" t="s">
        <v>83</v>
      </c>
      <c r="D14" s="733" t="s">
        <v>180</v>
      </c>
      <c r="E14" s="733" t="s">
        <v>181</v>
      </c>
      <c r="F14" s="733" t="s">
        <v>84</v>
      </c>
      <c r="G14" s="733" t="s">
        <v>85</v>
      </c>
      <c r="H14" s="733" t="s">
        <v>144</v>
      </c>
      <c r="I14" s="733" t="s">
        <v>145</v>
      </c>
      <c r="J14" s="333" t="s">
        <v>330</v>
      </c>
      <c r="K14" s="333" t="s">
        <v>114</v>
      </c>
    </row>
    <row r="15" spans="1:12" s="6" customFormat="1" ht="15" customHeight="1" x14ac:dyDescent="0.2">
      <c r="A15" s="17"/>
      <c r="B15" s="331" t="s">
        <v>46</v>
      </c>
      <c r="C15" s="666">
        <f>ROUND(72247.34*1.05,2)</f>
        <v>75859.710000000006</v>
      </c>
      <c r="D15" s="666">
        <f>ROUND(70984.03*1.05,2)</f>
        <v>74533.23</v>
      </c>
      <c r="E15" s="666">
        <f>ROUND(69571.31*1.05,2)</f>
        <v>73049.88</v>
      </c>
      <c r="F15" s="666">
        <f>ROUND(68286.69*1.05,2)</f>
        <v>71701.02</v>
      </c>
      <c r="G15" s="666">
        <f>ROUND(66238.1*1.05,2)</f>
        <v>69550.009999999995</v>
      </c>
      <c r="H15" s="666">
        <f>ROUND(64872.37*1.05,2)</f>
        <v>68115.990000000005</v>
      </c>
      <c r="I15" s="666">
        <f>ROUND(69281.17*1.05,2)</f>
        <v>72745.23</v>
      </c>
      <c r="J15" s="328">
        <f>I16</f>
        <v>90208.52</v>
      </c>
      <c r="K15" s="328">
        <f>I17</f>
        <v>92012.67</v>
      </c>
    </row>
    <row r="16" spans="1:12" s="6" customFormat="1" ht="15.6" customHeight="1" x14ac:dyDescent="0.2">
      <c r="A16" s="17"/>
      <c r="B16" s="13"/>
      <c r="F16" s="13"/>
      <c r="G16" s="23"/>
      <c r="H16" s="733" t="s">
        <v>330</v>
      </c>
      <c r="I16" s="666">
        <f>ROUND(85912.88*1.05,2)</f>
        <v>90208.52</v>
      </c>
    </row>
    <row r="17" spans="1:10" s="6" customFormat="1" ht="15.6" customHeight="1" x14ac:dyDescent="0.2">
      <c r="B17" s="13"/>
      <c r="F17" s="23"/>
      <c r="G17" s="23"/>
      <c r="H17" s="733" t="s">
        <v>114</v>
      </c>
      <c r="I17" s="666">
        <f>ROUND(87631.11*1.05,2)</f>
        <v>92012.67</v>
      </c>
    </row>
    <row r="18" spans="1:10" ht="12.75" customHeight="1" x14ac:dyDescent="0.2">
      <c r="B18" s="13"/>
      <c r="C18" s="13"/>
      <c r="D18" s="13"/>
      <c r="E18" s="13"/>
      <c r="F18" s="13"/>
      <c r="G18" s="13"/>
      <c r="H18" s="13"/>
    </row>
    <row r="20" spans="1:10" s="6" customFormat="1" x14ac:dyDescent="0.2">
      <c r="B20" s="20"/>
      <c r="C20" s="20"/>
      <c r="D20" s="20"/>
      <c r="E20" s="20"/>
      <c r="F20" s="20"/>
      <c r="G20" s="20"/>
      <c r="H20" s="20"/>
    </row>
    <row r="21" spans="1:10" s="6" customFormat="1" x14ac:dyDescent="0.2">
      <c r="A21" s="4"/>
      <c r="B21" s="24"/>
      <c r="C21" s="24"/>
      <c r="D21" s="24"/>
      <c r="E21" s="24"/>
      <c r="F21" s="24"/>
      <c r="G21" s="24"/>
      <c r="H21" s="665">
        <v>43101</v>
      </c>
    </row>
    <row r="22" spans="1:10" s="6" customFormat="1" ht="18.600000000000001" customHeight="1" x14ac:dyDescent="0.2">
      <c r="B22" s="336" t="s">
        <v>41</v>
      </c>
      <c r="C22" s="336"/>
      <c r="D22" s="336"/>
      <c r="E22" s="336"/>
      <c r="F22" s="336"/>
      <c r="G22" s="336"/>
      <c r="H22" s="336"/>
      <c r="I22" s="76"/>
    </row>
    <row r="23" spans="1:10" s="6" customFormat="1" ht="13.15" customHeight="1" x14ac:dyDescent="0.2">
      <c r="B23" s="335" t="s">
        <v>77</v>
      </c>
      <c r="C23" s="335"/>
      <c r="D23" s="335"/>
      <c r="E23" s="335"/>
      <c r="F23" s="335"/>
      <c r="G23" s="335"/>
      <c r="H23" s="335"/>
      <c r="I23" s="27"/>
    </row>
    <row r="24" spans="1:10" s="6" customFormat="1" x14ac:dyDescent="0.2">
      <c r="B24" s="335" t="s">
        <v>24</v>
      </c>
      <c r="C24" s="335"/>
      <c r="D24" s="335"/>
      <c r="E24" s="335"/>
      <c r="F24" s="335"/>
      <c r="G24" s="335"/>
      <c r="H24" s="335"/>
      <c r="I24" s="27"/>
    </row>
    <row r="25" spans="1:10" s="6" customFormat="1" x14ac:dyDescent="0.2">
      <c r="B25" s="331" t="s">
        <v>43</v>
      </c>
      <c r="C25" s="733" t="s">
        <v>142</v>
      </c>
      <c r="D25" s="733" t="s">
        <v>9</v>
      </c>
      <c r="E25" s="733" t="s">
        <v>181</v>
      </c>
      <c r="F25" s="733" t="s">
        <v>84</v>
      </c>
      <c r="G25" s="733" t="s">
        <v>85</v>
      </c>
      <c r="H25" s="733" t="s">
        <v>86</v>
      </c>
      <c r="I25" s="329" t="s">
        <v>25</v>
      </c>
    </row>
    <row r="26" spans="1:10" s="6" customFormat="1" ht="16.149999999999999" customHeight="1" x14ac:dyDescent="0.2">
      <c r="B26" s="332" t="s">
        <v>42</v>
      </c>
      <c r="C26" s="666">
        <f>ROUND(86302.35*1.05,2)</f>
        <v>90617.47</v>
      </c>
      <c r="D26" s="666">
        <f>ROUND(81180.53*1.05,2)</f>
        <v>85239.56</v>
      </c>
      <c r="E26" s="666">
        <f>ROUND(72074.39*1.05,2)</f>
        <v>75678.11</v>
      </c>
      <c r="F26" s="666">
        <f>ROUND(66146.25*1.05,2)</f>
        <v>69453.56</v>
      </c>
      <c r="G26" s="666">
        <f>ROUND(64161.83*1.05,2)</f>
        <v>67369.919999999998</v>
      </c>
      <c r="H26" s="666">
        <f>ROUND(64161.83*1.05,2)</f>
        <v>67369.919999999998</v>
      </c>
      <c r="I26" s="328">
        <f>H27</f>
        <v>78822.83</v>
      </c>
    </row>
    <row r="27" spans="1:10" s="4" customFormat="1" ht="15.6" customHeight="1" x14ac:dyDescent="0.2">
      <c r="A27" s="24"/>
      <c r="B27" s="71"/>
      <c r="C27" s="24"/>
      <c r="D27" s="72"/>
      <c r="E27" s="72"/>
      <c r="F27" s="72"/>
      <c r="G27" s="115" t="s">
        <v>25</v>
      </c>
      <c r="H27" s="666">
        <f>ROUND(75069.36*1.05,2)</f>
        <v>78822.83</v>
      </c>
      <c r="J27" s="24"/>
    </row>
    <row r="28" spans="1:10" s="6" customFormat="1" x14ac:dyDescent="0.2">
      <c r="B28" s="20"/>
      <c r="D28" s="70"/>
      <c r="E28" s="70"/>
      <c r="F28" s="70"/>
      <c r="G28" s="13"/>
      <c r="H28" s="13"/>
    </row>
    <row r="29" spans="1:10" s="6" customFormat="1" ht="13.5" hidden="1" customHeight="1" x14ac:dyDescent="0.2">
      <c r="B29" s="827" t="s">
        <v>47</v>
      </c>
    </row>
    <row r="30" spans="1:10" s="6" customFormat="1" ht="13.15" hidden="1" customHeight="1" x14ac:dyDescent="0.2">
      <c r="B30" s="828"/>
    </row>
    <row r="31" spans="1:10" s="6" customFormat="1" ht="13.15" hidden="1" customHeight="1" x14ac:dyDescent="0.2">
      <c r="B31" s="828"/>
    </row>
    <row r="32" spans="1:10" s="6" customFormat="1" ht="13.15" hidden="1" customHeight="1" x14ac:dyDescent="0.2">
      <c r="B32" s="828"/>
    </row>
    <row r="33" spans="2:9" s="6" customFormat="1" ht="13.15" hidden="1" customHeight="1" x14ac:dyDescent="0.2">
      <c r="B33" s="22" t="s">
        <v>87</v>
      </c>
    </row>
    <row r="34" spans="2:9" x14ac:dyDescent="0.2">
      <c r="B34" s="20"/>
      <c r="C34" s="6"/>
      <c r="D34" s="6"/>
      <c r="E34" s="6"/>
      <c r="F34" s="13"/>
      <c r="G34" s="6"/>
      <c r="H34" s="6"/>
      <c r="I34" s="6"/>
    </row>
    <row r="35" spans="2:9" x14ac:dyDescent="0.2">
      <c r="C35" s="51"/>
      <c r="D35" s="51"/>
      <c r="E35" s="51"/>
      <c r="F35" s="51"/>
      <c r="G35" s="51"/>
      <c r="H35" s="51"/>
      <c r="I35" s="51"/>
    </row>
    <row r="36" spans="2:9" ht="15" x14ac:dyDescent="0.25">
      <c r="B36" s="52" t="s">
        <v>79</v>
      </c>
      <c r="D36" s="64"/>
      <c r="I36" s="29"/>
    </row>
    <row r="37" spans="2:9" ht="14.25" x14ac:dyDescent="0.2">
      <c r="B37" s="116" t="s">
        <v>235</v>
      </c>
      <c r="C37" s="735">
        <v>0.2</v>
      </c>
      <c r="D37" s="30"/>
      <c r="E37" s="337" t="s">
        <v>234</v>
      </c>
      <c r="F37" s="338"/>
      <c r="G37" s="339"/>
      <c r="H37" s="735">
        <v>0.05</v>
      </c>
    </row>
    <row r="38" spans="2:9" ht="13.9" customHeight="1" x14ac:dyDescent="0.2">
      <c r="B38" s="116" t="s">
        <v>80</v>
      </c>
      <c r="C38" s="735">
        <v>0.06</v>
      </c>
      <c r="D38" s="30"/>
      <c r="E38" s="337" t="s">
        <v>233</v>
      </c>
      <c r="F38" s="338"/>
      <c r="G38" s="339"/>
      <c r="H38" s="735">
        <v>0.37</v>
      </c>
    </row>
    <row r="39" spans="2:9" ht="13.9" customHeight="1" x14ac:dyDescent="0.2">
      <c r="B39" s="116" t="s">
        <v>82</v>
      </c>
      <c r="C39" s="117">
        <v>2058</v>
      </c>
      <c r="D39" s="65"/>
      <c r="E39" s="337" t="s">
        <v>157</v>
      </c>
      <c r="F39" s="338"/>
      <c r="G39" s="339"/>
      <c r="H39" s="735">
        <v>0.01</v>
      </c>
    </row>
    <row r="40" spans="2:9" ht="13.9" customHeight="1" x14ac:dyDescent="0.2">
      <c r="B40" s="118" t="s">
        <v>156</v>
      </c>
      <c r="C40" s="735">
        <v>0.05</v>
      </c>
      <c r="D40" s="30"/>
      <c r="E40" s="337" t="s">
        <v>158</v>
      </c>
      <c r="F40" s="338"/>
      <c r="G40" s="339"/>
      <c r="H40" s="735">
        <v>0.01</v>
      </c>
    </row>
    <row r="41" spans="2:9" ht="13.9" customHeight="1" x14ac:dyDescent="0.2">
      <c r="B41" s="829" t="s">
        <v>81</v>
      </c>
      <c r="C41" s="830">
        <v>0.1</v>
      </c>
      <c r="D41" s="30"/>
      <c r="E41" s="337" t="s">
        <v>159</v>
      </c>
      <c r="F41" s="340"/>
      <c r="G41" s="339"/>
      <c r="H41" s="735">
        <v>0.02</v>
      </c>
    </row>
    <row r="42" spans="2:9" ht="13.9" customHeight="1" x14ac:dyDescent="0.2">
      <c r="B42" s="829"/>
      <c r="C42" s="830"/>
      <c r="D42" s="66"/>
      <c r="E42" s="337" t="s">
        <v>160</v>
      </c>
      <c r="F42" s="340"/>
      <c r="G42" s="339"/>
      <c r="H42" s="735">
        <v>0.02</v>
      </c>
    </row>
    <row r="43" spans="2:9" ht="27.6" customHeight="1" x14ac:dyDescent="0.2">
      <c r="B43" s="730" t="s">
        <v>183</v>
      </c>
      <c r="C43" s="735" t="s">
        <v>185</v>
      </c>
      <c r="D43" s="30"/>
      <c r="E43" s="337" t="s">
        <v>161</v>
      </c>
      <c r="F43" s="340"/>
      <c r="G43" s="339"/>
      <c r="H43" s="119">
        <v>0.1</v>
      </c>
    </row>
    <row r="44" spans="2:9" ht="27.6" customHeight="1" x14ac:dyDescent="0.2">
      <c r="B44" s="730" t="s">
        <v>184</v>
      </c>
      <c r="C44" s="735" t="s">
        <v>186</v>
      </c>
      <c r="D44" s="30"/>
      <c r="E44" s="337" t="s">
        <v>16</v>
      </c>
      <c r="F44" s="340"/>
      <c r="G44" s="339"/>
      <c r="H44" s="119">
        <v>0.2</v>
      </c>
    </row>
  </sheetData>
  <mergeCells count="3">
    <mergeCell ref="B29:B32"/>
    <mergeCell ref="B41:B42"/>
    <mergeCell ref="C41:C42"/>
  </mergeCells>
  <phoneticPr fontId="0" type="noConversion"/>
  <hyperlinks>
    <hyperlink ref="L1" location="'2'!A1" display="Оглавление"/>
  </hyperlinks>
  <printOptions horizontalCentere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>
    <oddHeader>&amp;A</oddHeader>
  </headerFooter>
  <ignoredErrors>
    <ignoredError sqref="B6" twoDigitTextYear="1"/>
  </ignoredErrors>
  <tableParts count="3">
    <tablePart r:id="rId2"/>
    <tablePart r:id="rId3"/>
    <tablePart r:id="rId4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F16"/>
  <sheetViews>
    <sheetView showGridLines="0" showRowColHeaders="0" view="pageBreakPreview" topLeftCell="A16" zoomScaleNormal="100" zoomScaleSheetLayoutView="100" workbookViewId="0">
      <selection activeCell="C2" sqref="C2"/>
    </sheetView>
  </sheetViews>
  <sheetFormatPr defaultColWidth="9.140625" defaultRowHeight="15" x14ac:dyDescent="0.25"/>
  <cols>
    <col min="1" max="1" width="74.7109375" style="640" bestFit="1" customWidth="1"/>
    <col min="2" max="2" width="19.28515625" style="640" customWidth="1"/>
    <col min="3" max="3" width="11.140625" style="640" bestFit="1" customWidth="1"/>
    <col min="4" max="16384" width="9.140625" style="640"/>
  </cols>
  <sheetData>
    <row r="1" spans="1:6" x14ac:dyDescent="0.25">
      <c r="C1" s="31" t="s">
        <v>162</v>
      </c>
    </row>
    <row r="2" spans="1:6" ht="15.75" x14ac:dyDescent="0.25">
      <c r="A2" s="653" t="s">
        <v>335</v>
      </c>
      <c r="B2" s="654"/>
    </row>
    <row r="4" spans="1:6" x14ac:dyDescent="0.25">
      <c r="A4" s="662" t="s">
        <v>421</v>
      </c>
      <c r="B4" s="662" t="s">
        <v>418</v>
      </c>
    </row>
    <row r="5" spans="1:6" ht="21" customHeight="1" x14ac:dyDescent="0.25">
      <c r="A5" s="655" t="s">
        <v>445</v>
      </c>
      <c r="B5" s="641">
        <v>0.05</v>
      </c>
      <c r="F5" s="13"/>
    </row>
    <row r="6" spans="1:6" ht="21" customHeight="1" x14ac:dyDescent="0.25">
      <c r="A6" s="656" t="s">
        <v>446</v>
      </c>
      <c r="B6" s="641">
        <v>0.03</v>
      </c>
      <c r="F6" s="13"/>
    </row>
    <row r="7" spans="1:6" ht="21" customHeight="1" x14ac:dyDescent="0.25">
      <c r="A7" s="703" t="s">
        <v>447</v>
      </c>
      <c r="B7" s="641">
        <v>0.04</v>
      </c>
      <c r="F7" s="13"/>
    </row>
    <row r="8" spans="1:6" ht="21" customHeight="1" x14ac:dyDescent="0.25">
      <c r="A8" s="657" t="s">
        <v>448</v>
      </c>
      <c r="B8" s="651">
        <v>12000</v>
      </c>
      <c r="F8" s="13"/>
    </row>
    <row r="9" spans="1:6" ht="32.1" customHeight="1" x14ac:dyDescent="0.25">
      <c r="A9" s="658" t="s">
        <v>449</v>
      </c>
      <c r="B9" s="651">
        <v>10000</v>
      </c>
      <c r="F9" s="13"/>
    </row>
    <row r="10" spans="1:6" ht="21" customHeight="1" x14ac:dyDescent="0.25">
      <c r="A10" s="659" t="s">
        <v>452</v>
      </c>
      <c r="B10" s="651">
        <v>30800</v>
      </c>
      <c r="F10" s="13"/>
    </row>
    <row r="11" spans="1:6" ht="21" customHeight="1" x14ac:dyDescent="0.25">
      <c r="A11" s="660" t="s">
        <v>450</v>
      </c>
      <c r="B11" s="651">
        <v>27400</v>
      </c>
      <c r="F11" s="13"/>
    </row>
    <row r="12" spans="1:6" ht="21" customHeight="1" x14ac:dyDescent="0.25">
      <c r="A12" s="661" t="s">
        <v>451</v>
      </c>
      <c r="B12" s="641">
        <v>0.05</v>
      </c>
      <c r="F12" s="13"/>
    </row>
    <row r="13" spans="1:6" ht="21" customHeight="1" x14ac:dyDescent="0.25">
      <c r="A13" s="663" t="s">
        <v>453</v>
      </c>
      <c r="B13" s="652">
        <v>0.03</v>
      </c>
      <c r="F13" s="13"/>
    </row>
    <row r="14" spans="1:6" ht="21" customHeight="1" x14ac:dyDescent="0.25">
      <c r="A14" s="664" t="s">
        <v>454</v>
      </c>
      <c r="B14" s="651">
        <v>900</v>
      </c>
      <c r="F14" s="13"/>
    </row>
    <row r="15" spans="1:6" ht="21" customHeight="1" x14ac:dyDescent="0.25">
      <c r="F15" s="13"/>
    </row>
    <row r="16" spans="1:6" x14ac:dyDescent="0.25">
      <c r="F16" s="13"/>
    </row>
  </sheetData>
  <hyperlinks>
    <hyperlink ref="C1" location="'2'!A1" display="Оглавление"/>
  </hyperlinks>
  <pageMargins left="0.70866141732283472" right="0.70866141732283472" top="0.74803149606299213" bottom="0.74803149606299213" header="0.31496062992125984" footer="0.31496062992125984"/>
  <pageSetup paperSize="9" scale="94" orientation="portrait" r:id="rId1"/>
  <headerFooter>
    <oddHeader>&amp;C&amp;A</oddHead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J92"/>
  <sheetViews>
    <sheetView showGridLines="0" showRowColHeaders="0" view="pageBreakPreview" zoomScaleNormal="100" zoomScaleSheetLayoutView="100" workbookViewId="0">
      <pane ySplit="4" topLeftCell="A39" activePane="bottomLeft" state="frozen"/>
      <selection pane="bottomLeft"/>
    </sheetView>
  </sheetViews>
  <sheetFormatPr defaultColWidth="8.85546875" defaultRowHeight="14.25" x14ac:dyDescent="0.2"/>
  <cols>
    <col min="1" max="1" width="5.7109375" style="13" customWidth="1"/>
    <col min="2" max="2" width="13.7109375" style="39" customWidth="1"/>
    <col min="3" max="3" width="12.42578125" style="37" customWidth="1"/>
    <col min="4" max="4" width="20.28515625" style="39" customWidth="1"/>
    <col min="5" max="5" width="20.5703125" style="45" customWidth="1"/>
    <col min="6" max="6" width="19" style="46" customWidth="1"/>
    <col min="7" max="9" width="19.7109375" style="46" customWidth="1"/>
    <col min="10" max="10" width="10.7109375" style="46" bestFit="1" customWidth="1"/>
    <col min="11" max="16384" width="8.85546875" style="46"/>
  </cols>
  <sheetData>
    <row r="1" spans="1:10" x14ac:dyDescent="0.2">
      <c r="B1" s="736"/>
      <c r="C1" s="736"/>
      <c r="D1" s="141"/>
      <c r="E1" s="142"/>
      <c r="F1" s="143"/>
      <c r="G1" s="644"/>
      <c r="H1" s="644"/>
      <c r="I1" s="644">
        <v>43374</v>
      </c>
      <c r="J1" s="31" t="s">
        <v>162</v>
      </c>
    </row>
    <row r="2" spans="1:10" ht="15" customHeight="1" x14ac:dyDescent="0.2">
      <c r="B2" s="831" t="s">
        <v>88</v>
      </c>
      <c r="C2" s="831"/>
      <c r="D2" s="741" t="s">
        <v>77</v>
      </c>
      <c r="E2" s="741"/>
      <c r="F2" s="741"/>
      <c r="G2" s="741"/>
      <c r="H2" s="742"/>
      <c r="I2" s="743"/>
    </row>
    <row r="3" spans="1:10" x14ac:dyDescent="0.2">
      <c r="B3" s="833" t="s">
        <v>89</v>
      </c>
      <c r="C3" s="833" t="s">
        <v>90</v>
      </c>
      <c r="D3" s="831" t="s">
        <v>153</v>
      </c>
      <c r="E3" s="831"/>
      <c r="F3" s="831" t="s">
        <v>479</v>
      </c>
      <c r="G3" s="831"/>
      <c r="H3" s="831" t="s">
        <v>480</v>
      </c>
      <c r="I3" s="831"/>
    </row>
    <row r="4" spans="1:10" ht="28.5" x14ac:dyDescent="0.2">
      <c r="B4" s="833"/>
      <c r="C4" s="833"/>
      <c r="D4" s="737" t="s">
        <v>69</v>
      </c>
      <c r="E4" s="158" t="s">
        <v>278</v>
      </c>
      <c r="F4" s="737" t="s">
        <v>69</v>
      </c>
      <c r="G4" s="158" t="s">
        <v>278</v>
      </c>
      <c r="H4" s="737" t="s">
        <v>69</v>
      </c>
      <c r="I4" s="158" t="s">
        <v>278</v>
      </c>
    </row>
    <row r="5" spans="1:10" ht="32.25" customHeight="1" x14ac:dyDescent="0.25">
      <c r="B5" s="195"/>
      <c r="C5" s="181"/>
      <c r="D5" s="180"/>
      <c r="E5" s="173"/>
      <c r="F5" s="173"/>
      <c r="G5" s="173"/>
      <c r="H5" s="744"/>
      <c r="I5" s="174"/>
    </row>
    <row r="6" spans="1:10" x14ac:dyDescent="0.2">
      <c r="B6" s="183" t="s">
        <v>287</v>
      </c>
      <c r="C6" s="182" t="s">
        <v>288</v>
      </c>
      <c r="D6" s="178" t="s">
        <v>283</v>
      </c>
      <c r="E6" s="179" t="s">
        <v>284</v>
      </c>
      <c r="F6" s="179" t="s">
        <v>333</v>
      </c>
      <c r="G6" s="179" t="s">
        <v>334</v>
      </c>
      <c r="H6" s="745" t="s">
        <v>336</v>
      </c>
      <c r="I6" s="746" t="s">
        <v>337</v>
      </c>
    </row>
    <row r="7" spans="1:10" x14ac:dyDescent="0.2">
      <c r="A7" s="50"/>
      <c r="B7" s="200" t="s">
        <v>289</v>
      </c>
      <c r="C7" s="144" t="s">
        <v>250</v>
      </c>
      <c r="D7" s="704">
        <f>ROUND(123930.94*1.05,2)</f>
        <v>130127.49</v>
      </c>
      <c r="E7" s="704">
        <f>ROUND(139333.97*1.05,2)</f>
        <v>146300.67000000001</v>
      </c>
      <c r="F7" s="704">
        <f>ROUND(156328.96*1.05,2)</f>
        <v>164145.41</v>
      </c>
      <c r="G7" s="705">
        <f>ROUND(171397.18*1.05,2)</f>
        <v>179967.04</v>
      </c>
      <c r="H7" s="770">
        <f>ROUND(164145.41*1.02,2)</f>
        <v>167428.32</v>
      </c>
      <c r="I7" s="770">
        <f>ROUND(179967.04*1.02,2)</f>
        <v>183566.38</v>
      </c>
      <c r="J7" s="56"/>
    </row>
    <row r="8" spans="1:10" x14ac:dyDescent="0.2">
      <c r="A8" s="67"/>
      <c r="B8" s="201" t="s">
        <v>290</v>
      </c>
      <c r="C8" s="145" t="s">
        <v>249</v>
      </c>
      <c r="D8" s="704">
        <f>ROUND(113657.92*1.05,2)</f>
        <v>119340.82</v>
      </c>
      <c r="E8" s="704">
        <f>ROUND(123164.33*1.05,2)</f>
        <v>129322.55</v>
      </c>
      <c r="F8" s="704">
        <f>ROUND(144213.61*1.05,2)</f>
        <v>151424.29</v>
      </c>
      <c r="G8" s="705">
        <f>ROUND(159281.88*1.05,2)</f>
        <v>167245.97</v>
      </c>
      <c r="H8" s="704">
        <f>ROUND(151424.29*1.02,2)</f>
        <v>154452.78</v>
      </c>
      <c r="I8" s="704">
        <f>ROUND(167245.97*1.02,2)</f>
        <v>170590.89</v>
      </c>
      <c r="J8" s="56"/>
    </row>
    <row r="9" spans="1:10" x14ac:dyDescent="0.2">
      <c r="A9" s="68"/>
      <c r="B9" s="202" t="s">
        <v>291</v>
      </c>
      <c r="C9" s="144" t="s">
        <v>250</v>
      </c>
      <c r="D9" s="704">
        <f>ROUND(105541.95*1.05,2)</f>
        <v>110819.05</v>
      </c>
      <c r="E9" s="704">
        <f>ROUND(119098.98*1.05,2)</f>
        <v>125053.93</v>
      </c>
      <c r="F9" s="704">
        <f>ROUND(138598.86*1.05,2)</f>
        <v>145528.79999999999</v>
      </c>
      <c r="G9" s="705">
        <f>ROUND(152094.76*1.05,2)</f>
        <v>159699.5</v>
      </c>
      <c r="H9" s="704">
        <f>ROUND(145528.8*1.02,2)</f>
        <v>148439.38</v>
      </c>
      <c r="I9" s="704">
        <f>ROUND(159699.5*1.02,2)</f>
        <v>162893.49</v>
      </c>
      <c r="J9" s="56"/>
    </row>
    <row r="10" spans="1:10" x14ac:dyDescent="0.2">
      <c r="A10" s="67"/>
      <c r="B10" s="201" t="s">
        <v>292</v>
      </c>
      <c r="C10" s="144" t="s">
        <v>254</v>
      </c>
      <c r="D10" s="704">
        <f>ROUND(102982.41*1.05,2)</f>
        <v>108131.53</v>
      </c>
      <c r="E10" s="704">
        <f>ROUND(116588.19*1.05,2)</f>
        <v>122417.60000000001</v>
      </c>
      <c r="F10" s="704">
        <f>ROUND(138598.86*1.05,2)</f>
        <v>145528.79999999999</v>
      </c>
      <c r="G10" s="705">
        <f>ROUND(152094.76*1.05,2)</f>
        <v>159699.5</v>
      </c>
      <c r="H10" s="704">
        <f>ROUND(145528.8*1.02,2)</f>
        <v>148439.38</v>
      </c>
      <c r="I10" s="704">
        <f>ROUND(159699.5*1.02,2)</f>
        <v>162893.49</v>
      </c>
      <c r="J10" s="56"/>
    </row>
    <row r="11" spans="1:10" x14ac:dyDescent="0.2">
      <c r="A11" s="40"/>
      <c r="B11" s="203" t="s">
        <v>293</v>
      </c>
      <c r="C11" s="144" t="s">
        <v>251</v>
      </c>
      <c r="D11" s="704">
        <f>ROUND(97943.38*1.05,2)</f>
        <v>102840.55</v>
      </c>
      <c r="E11" s="704">
        <f>ROUND(111279.28*1.05,2)</f>
        <v>116843.24</v>
      </c>
      <c r="F11" s="704">
        <f>ROUND(131440.29*1.05,2)</f>
        <v>138012.29999999999</v>
      </c>
      <c r="G11" s="705">
        <f>ROUND(144936.18*1.05,2)</f>
        <v>152182.99</v>
      </c>
      <c r="H11" s="704">
        <f>ROUND(138012.3*1.02,2)</f>
        <v>140772.54999999999</v>
      </c>
      <c r="I11" s="704">
        <f>ROUND(152182.99*1.02,2)</f>
        <v>155226.65</v>
      </c>
      <c r="J11" s="56"/>
    </row>
    <row r="12" spans="1:10" x14ac:dyDescent="0.2">
      <c r="A12" s="40"/>
      <c r="B12" s="201" t="s">
        <v>294</v>
      </c>
      <c r="C12" s="144" t="s">
        <v>96</v>
      </c>
      <c r="D12" s="704">
        <f>ROUND(94412.37*1.05,2)</f>
        <v>99132.99</v>
      </c>
      <c r="E12" s="704">
        <f>ROUND(107815.52*1.05,2)</f>
        <v>113206.3</v>
      </c>
      <c r="F12" s="704">
        <f>ROUND(131440.29*1.05,2)</f>
        <v>138012.29999999999</v>
      </c>
      <c r="G12" s="705">
        <f>ROUND(144936.18*1.05,2)</f>
        <v>152182.99</v>
      </c>
      <c r="H12" s="704">
        <f>ROUND(138012.3*1.02,2)</f>
        <v>140772.54999999999</v>
      </c>
      <c r="I12" s="704">
        <f>ROUND(152182.99*1.02,2)</f>
        <v>155226.65</v>
      </c>
      <c r="J12" s="56"/>
    </row>
    <row r="13" spans="1:10" x14ac:dyDescent="0.2">
      <c r="A13" s="40"/>
      <c r="B13" s="204" t="s">
        <v>295</v>
      </c>
      <c r="C13" s="144" t="s">
        <v>93</v>
      </c>
      <c r="D13" s="704">
        <f>ROUND(96196.72*1.05,2)</f>
        <v>101006.56</v>
      </c>
      <c r="E13" s="704">
        <f>ROUND(109565.91*1.05,2)</f>
        <v>115044.21</v>
      </c>
      <c r="F13" s="704">
        <f>ROUND(127102.32*1.05,2)</f>
        <v>133457.44</v>
      </c>
      <c r="G13" s="705">
        <f>ROUND(140598.21*1.05,2)</f>
        <v>147628.12</v>
      </c>
      <c r="H13" s="704">
        <f>ROUND(133457.44*1.02,2)</f>
        <v>136126.59</v>
      </c>
      <c r="I13" s="704">
        <f>ROUND(147628.12*1.02,2)</f>
        <v>150580.68</v>
      </c>
      <c r="J13" s="56"/>
    </row>
    <row r="14" spans="1:10" x14ac:dyDescent="0.2">
      <c r="A14" s="40"/>
      <c r="B14" s="205" t="s">
        <v>296</v>
      </c>
      <c r="C14" s="144" t="s">
        <v>96</v>
      </c>
      <c r="D14" s="704">
        <f>ROUND(94709.06*1.05,2)</f>
        <v>99444.51</v>
      </c>
      <c r="E14" s="704">
        <f>ROUND(108106.54*1.05,2)</f>
        <v>113511.87</v>
      </c>
      <c r="F14" s="704">
        <f>ROUND(127102.32*1.05,2)</f>
        <v>133457.44</v>
      </c>
      <c r="G14" s="705">
        <f>ROUND(140598.21*1.05,2)</f>
        <v>147628.12</v>
      </c>
      <c r="H14" s="704">
        <f>ROUND(133457.44*1.02,2)</f>
        <v>136126.59</v>
      </c>
      <c r="I14" s="704">
        <f>ROUND(147628.12*1.02,2)</f>
        <v>150580.68</v>
      </c>
      <c r="J14" s="56"/>
    </row>
    <row r="15" spans="1:10" x14ac:dyDescent="0.2">
      <c r="A15" s="40"/>
      <c r="B15" s="185" t="s">
        <v>97</v>
      </c>
      <c r="C15" s="146" t="s">
        <v>472</v>
      </c>
      <c r="D15" s="704">
        <f>ROUND(90499.99*1.05,2)</f>
        <v>95024.99</v>
      </c>
      <c r="E15" s="704">
        <f>ROUND(102139.02*1.05,2)</f>
        <v>107245.97</v>
      </c>
      <c r="F15" s="704">
        <f>ROUND(114281.24*1.05,2)</f>
        <v>119995.3</v>
      </c>
      <c r="G15" s="705">
        <f>ROUND(127777.17*1.05,2)</f>
        <v>134166.03</v>
      </c>
      <c r="H15" s="704">
        <f>ROUND(119995.3*1.02,2)</f>
        <v>122395.21</v>
      </c>
      <c r="I15" s="704">
        <f>ROUND(134166.03*1.02,2)</f>
        <v>136849.35</v>
      </c>
      <c r="J15" s="56"/>
    </row>
    <row r="16" spans="1:10" x14ac:dyDescent="0.2">
      <c r="A16" s="50"/>
      <c r="B16" s="206" t="s">
        <v>297</v>
      </c>
      <c r="C16" s="146" t="s">
        <v>252</v>
      </c>
      <c r="D16" s="704">
        <f>ROUND(76804.98*1.05,2)</f>
        <v>80645.23</v>
      </c>
      <c r="E16" s="704">
        <f>ROUND(84473.8*1.05,2)</f>
        <v>88697.49</v>
      </c>
      <c r="F16" s="704">
        <f>ROUND(113553.53*1.05,2)</f>
        <v>119231.21</v>
      </c>
      <c r="G16" s="705">
        <f>ROUND(126605.45*1.05,2)</f>
        <v>132935.72</v>
      </c>
      <c r="H16" s="704">
        <f>ROUND(119231.21*1.02,2)</f>
        <v>121615.83</v>
      </c>
      <c r="I16" s="704">
        <f>ROUND(132935.72*1.02,2)</f>
        <v>135594.43</v>
      </c>
      <c r="J16" s="56"/>
    </row>
    <row r="17" spans="1:10" ht="13.15" customHeight="1" x14ac:dyDescent="0.2">
      <c r="A17" s="67"/>
      <c r="B17" s="201" t="s">
        <v>298</v>
      </c>
      <c r="C17" s="147" t="s">
        <v>264</v>
      </c>
      <c r="D17" s="704">
        <f>ROUND(75298.87*1.05,2)</f>
        <v>79063.81</v>
      </c>
      <c r="E17" s="704">
        <f>ROUND(83080.43*1.05,2)</f>
        <v>87234.45</v>
      </c>
      <c r="F17" s="704">
        <f>ROUND(112263.27*1.05,2)</f>
        <v>117876.43</v>
      </c>
      <c r="G17" s="705">
        <f>ROUND(125315.2*1.05,2)</f>
        <v>131580.96</v>
      </c>
      <c r="H17" s="704">
        <f>ROUND(117876.43*1.02,2)</f>
        <v>120233.96</v>
      </c>
      <c r="I17" s="704">
        <f>ROUND(131580.96*1.02,2)</f>
        <v>134212.57999999999</v>
      </c>
      <c r="J17" s="56"/>
    </row>
    <row r="18" spans="1:10" ht="13.15" customHeight="1" x14ac:dyDescent="0.2">
      <c r="B18" s="186" t="s">
        <v>99</v>
      </c>
      <c r="C18" s="147" t="s">
        <v>473</v>
      </c>
      <c r="D18" s="704">
        <f>ROUND(100533.26*1.02,2)</f>
        <v>102543.93</v>
      </c>
      <c r="E18" s="704">
        <f>ROUND(113880.65*1.02,2)</f>
        <v>116158.26</v>
      </c>
      <c r="F18" s="704">
        <f>ROUND(118456.22*1.08,2)</f>
        <v>127932.72</v>
      </c>
      <c r="G18" s="705">
        <f>ROUND(131899.69*1.08,2)</f>
        <v>142451.67000000001</v>
      </c>
      <c r="H18" s="704">
        <f>ROUND(127932.72*1.02,2)</f>
        <v>130491.37</v>
      </c>
      <c r="I18" s="704">
        <f>ROUND(142451.67*1.02,2)</f>
        <v>145300.70000000001</v>
      </c>
      <c r="J18" s="56"/>
    </row>
    <row r="19" spans="1:10" ht="13.15" customHeight="1" x14ac:dyDescent="0.2">
      <c r="B19" s="186" t="s">
        <v>100</v>
      </c>
      <c r="C19" s="147" t="s">
        <v>255</v>
      </c>
      <c r="D19" s="704">
        <f>ROUND(85137.63*1.02,2)</f>
        <v>86840.38</v>
      </c>
      <c r="E19" s="704">
        <f>ROUND(97430.35*1.02,2)</f>
        <v>99378.96</v>
      </c>
      <c r="F19" s="704">
        <f>ROUND(114876.46*1.08,2)</f>
        <v>124066.58</v>
      </c>
      <c r="G19" s="705">
        <f>ROUND(128319.9*1.08,2)</f>
        <v>138585.49</v>
      </c>
      <c r="H19" s="704">
        <f>ROUND(124066.58*1.02,2)</f>
        <v>126547.91</v>
      </c>
      <c r="I19" s="704">
        <f>ROUND(138585.49*1.02,2)</f>
        <v>141357.20000000001</v>
      </c>
      <c r="J19" s="56"/>
    </row>
    <row r="20" spans="1:10" ht="13.15" customHeight="1" x14ac:dyDescent="0.2">
      <c r="B20" s="186" t="s">
        <v>101</v>
      </c>
      <c r="C20" s="147" t="s">
        <v>253</v>
      </c>
      <c r="D20" s="704">
        <f>ROUND(94242.53*1.02,2)</f>
        <v>96127.38</v>
      </c>
      <c r="E20" s="704">
        <f>ROUND(108272.91*1.02,2)</f>
        <v>110438.37</v>
      </c>
      <c r="F20" s="704">
        <f>ROUND(117835.87*1.08,2)</f>
        <v>127262.74</v>
      </c>
      <c r="G20" s="705">
        <f>ROUND(131279.38*1.08,2)</f>
        <v>141781.73000000001</v>
      </c>
      <c r="H20" s="704">
        <f>ROUND(127262.74*1.02,2)</f>
        <v>129807.99</v>
      </c>
      <c r="I20" s="704">
        <f>ROUND(141781.73*1.02,2)</f>
        <v>144617.35999999999</v>
      </c>
      <c r="J20" s="56"/>
    </row>
    <row r="21" spans="1:10" ht="13.9" customHeight="1" x14ac:dyDescent="0.2">
      <c r="B21" s="186" t="s">
        <v>102</v>
      </c>
      <c r="C21" s="147" t="s">
        <v>241</v>
      </c>
      <c r="D21" s="704">
        <f>ROUND(94242.31*1.02,2)</f>
        <v>96127.16</v>
      </c>
      <c r="E21" s="704">
        <f>ROUND(108598.51*1.02,2)</f>
        <v>110770.48</v>
      </c>
      <c r="F21" s="704">
        <f>ROUND(116990.87*1.08,2)</f>
        <v>126350.14</v>
      </c>
      <c r="G21" s="705">
        <f>ROUND(130434.35*1.08,2)</f>
        <v>140869.1</v>
      </c>
      <c r="H21" s="704">
        <f>ROUND(126350.14*1.02,2)</f>
        <v>128877.14</v>
      </c>
      <c r="I21" s="704">
        <f>ROUND(140869.1*1.02,2)</f>
        <v>143686.48000000001</v>
      </c>
      <c r="J21" s="56"/>
    </row>
    <row r="22" spans="1:10" ht="13.9" customHeight="1" x14ac:dyDescent="0.2">
      <c r="B22" s="186" t="s">
        <v>104</v>
      </c>
      <c r="C22" s="147" t="s">
        <v>253</v>
      </c>
      <c r="D22" s="704">
        <f>ROUND(100473*1.02,2)</f>
        <v>102482.46</v>
      </c>
      <c r="E22" s="704">
        <f>ROUND(117784.02*1.02,2)</f>
        <v>120139.7</v>
      </c>
      <c r="F22" s="704">
        <f>ROUND(117186.65*1.08,2)</f>
        <v>126561.58</v>
      </c>
      <c r="G22" s="705">
        <f>ROUND(131337.68*1.08,2)</f>
        <v>141844.69</v>
      </c>
      <c r="H22" s="704">
        <f>ROUND(126561.58*1.02,2)</f>
        <v>129092.81</v>
      </c>
      <c r="I22" s="704">
        <f>ROUND(141844.69*1.02,2)</f>
        <v>144681.57999999999</v>
      </c>
      <c r="J22" s="56"/>
    </row>
    <row r="23" spans="1:10" ht="13.9" customHeight="1" x14ac:dyDescent="0.2">
      <c r="B23" s="187" t="s">
        <v>190</v>
      </c>
      <c r="C23" s="188" t="s">
        <v>253</v>
      </c>
      <c r="D23" s="189">
        <f>ROUND(100473*1.02,2)</f>
        <v>102482.46</v>
      </c>
      <c r="E23" s="189">
        <f>ROUND(117784.02*1.02,2)</f>
        <v>120139.7</v>
      </c>
      <c r="F23" s="189">
        <f>ROUND(117186.65*1.08,2)</f>
        <v>126561.58</v>
      </c>
      <c r="G23" s="190">
        <f>ROUND(131337.68*1.08,2)</f>
        <v>141844.69</v>
      </c>
      <c r="H23" s="189">
        <f>ROUND(126561.58*1.02,2)</f>
        <v>129092.81</v>
      </c>
      <c r="I23" s="189">
        <f>ROUND(141844.69*1.02,2)</f>
        <v>144681.57999999999</v>
      </c>
      <c r="J23" s="56"/>
    </row>
    <row r="24" spans="1:10" ht="13.9" customHeight="1" x14ac:dyDescent="0.2">
      <c r="B24" s="148"/>
      <c r="C24" s="736"/>
      <c r="D24" s="805"/>
      <c r="E24" s="805"/>
      <c r="F24" s="149"/>
      <c r="G24" s="143"/>
      <c r="H24" s="143"/>
      <c r="I24" s="143"/>
    </row>
    <row r="25" spans="1:10" ht="13.5" customHeight="1" x14ac:dyDescent="0.2">
      <c r="B25" s="191" t="s">
        <v>120</v>
      </c>
      <c r="C25" s="196"/>
      <c r="D25" s="197"/>
      <c r="E25" s="192"/>
      <c r="F25" s="192"/>
      <c r="G25" s="192"/>
      <c r="H25" s="747"/>
      <c r="I25" s="193"/>
    </row>
    <row r="26" spans="1:10" ht="14.25" customHeight="1" x14ac:dyDescent="0.2">
      <c r="B26" s="183" t="s">
        <v>287</v>
      </c>
      <c r="C26" s="182" t="s">
        <v>288</v>
      </c>
      <c r="D26" s="198" t="s">
        <v>283</v>
      </c>
      <c r="E26" s="194" t="s">
        <v>284</v>
      </c>
      <c r="F26" s="194" t="s">
        <v>333</v>
      </c>
      <c r="G26" s="194" t="s">
        <v>334</v>
      </c>
      <c r="H26" s="216" t="s">
        <v>336</v>
      </c>
      <c r="I26" s="748" t="s">
        <v>337</v>
      </c>
    </row>
    <row r="27" spans="1:10" ht="13.15" customHeight="1" x14ac:dyDescent="0.2">
      <c r="B27" s="200" t="s">
        <v>289</v>
      </c>
      <c r="C27" s="147" t="s">
        <v>227</v>
      </c>
      <c r="D27" s="704">
        <f>ROUND(124118.59*1.05,2)</f>
        <v>130324.52</v>
      </c>
      <c r="E27" s="704">
        <f>ROUND(138100.13*1.05,2)</f>
        <v>145005.14000000001</v>
      </c>
      <c r="F27" s="704">
        <f>ROUND(171335.03*1.05,2)</f>
        <v>179901.78</v>
      </c>
      <c r="G27" s="705">
        <f>ROUND(186402.68*1.05,2)</f>
        <v>195722.81</v>
      </c>
      <c r="H27" s="770">
        <f>ROUND(179901.78*1.02,2)</f>
        <v>183499.82</v>
      </c>
      <c r="I27" s="770">
        <f>ROUND(195722.81*1.02,2)</f>
        <v>199637.27</v>
      </c>
      <c r="J27" s="56"/>
    </row>
    <row r="28" spans="1:10" ht="13.15" customHeight="1" x14ac:dyDescent="0.2">
      <c r="B28" s="201" t="s">
        <v>290</v>
      </c>
      <c r="C28" s="147" t="s">
        <v>228</v>
      </c>
      <c r="D28" s="704">
        <f>ROUND(121107.33*1.05,2)</f>
        <v>127162.7</v>
      </c>
      <c r="E28" s="704">
        <f>ROUND(135146.24*1.05,2)</f>
        <v>141903.54999999999</v>
      </c>
      <c r="F28" s="704">
        <f>ROUND(167287.81*1.05,2)</f>
        <v>175652.2</v>
      </c>
      <c r="G28" s="705">
        <f>ROUND(182355.47*1.05,2)</f>
        <v>191473.24</v>
      </c>
      <c r="H28" s="704">
        <f>ROUND(175652.2*1.02,2)</f>
        <v>179165.24</v>
      </c>
      <c r="I28" s="704">
        <f>ROUND(191473.24*1.02,2)</f>
        <v>195302.7</v>
      </c>
      <c r="J28" s="56"/>
    </row>
    <row r="29" spans="1:10" ht="13.15" customHeight="1" x14ac:dyDescent="0.2">
      <c r="B29" s="202" t="s">
        <v>291</v>
      </c>
      <c r="C29" s="147" t="s">
        <v>121</v>
      </c>
      <c r="D29" s="704">
        <f>ROUND(118208.18*1.05,2)</f>
        <v>124118.59</v>
      </c>
      <c r="E29" s="704">
        <f>ROUND(131523.93*1.05,2)</f>
        <v>138100.13</v>
      </c>
      <c r="F29" s="704">
        <f>ROUND(155230.75*1.05,2)</f>
        <v>162992.29</v>
      </c>
      <c r="G29" s="705">
        <f>ROUND(168726.14*1.05,2)</f>
        <v>177162.45</v>
      </c>
      <c r="H29" s="704">
        <f>ROUND(162992.29*1.02,2)</f>
        <v>166252.14000000001</v>
      </c>
      <c r="I29" s="704">
        <f>ROUND(177162.45*1.02,2)</f>
        <v>180705.7</v>
      </c>
      <c r="J29" s="56"/>
    </row>
    <row r="30" spans="1:10" ht="13.15" customHeight="1" x14ac:dyDescent="0.2">
      <c r="B30" s="201" t="s">
        <v>292</v>
      </c>
      <c r="C30" s="147" t="s">
        <v>122</v>
      </c>
      <c r="D30" s="704">
        <f>ROUND(115340.32*1.05,2)</f>
        <v>121107.34</v>
      </c>
      <c r="E30" s="704">
        <f>ROUND(128710.7*1.05,2)</f>
        <v>135146.23999999999</v>
      </c>
      <c r="F30" s="704">
        <f>ROUND(155230.75*1.05,2)</f>
        <v>162992.29</v>
      </c>
      <c r="G30" s="705">
        <f>ROUND(168726.14*1.05,2)</f>
        <v>177162.45</v>
      </c>
      <c r="H30" s="704">
        <f>ROUND(162992.29*1.02,2)</f>
        <v>166252.14000000001</v>
      </c>
      <c r="I30" s="704">
        <f>ROUND(177162.45*1.02,2)</f>
        <v>180705.7</v>
      </c>
      <c r="J30" s="56"/>
    </row>
    <row r="31" spans="1:10" ht="13.15" customHeight="1" x14ac:dyDescent="0.2">
      <c r="B31" s="184" t="s">
        <v>94</v>
      </c>
      <c r="C31" s="147" t="s">
        <v>123</v>
      </c>
      <c r="D31" s="704">
        <f>ROUND(105740.42*1.05,2)</f>
        <v>111027.44</v>
      </c>
      <c r="E31" s="704">
        <f>ROUND(118927.84*1.05,2)</f>
        <v>124874.23</v>
      </c>
      <c r="F31" s="704">
        <f>ROUND(147213.12*1.05,2)</f>
        <v>154573.78</v>
      </c>
      <c r="G31" s="705">
        <f>ROUND(160708.48*1.05,2)</f>
        <v>168743.9</v>
      </c>
      <c r="H31" s="704">
        <f>ROUND(154573.78*1.02,2)</f>
        <v>157665.26</v>
      </c>
      <c r="I31" s="704">
        <f>ROUND(168743.9*1.02,2)</f>
        <v>172118.78</v>
      </c>
      <c r="J31" s="56"/>
    </row>
    <row r="32" spans="1:10" ht="13.9" customHeight="1" x14ac:dyDescent="0.2">
      <c r="B32" s="204" t="s">
        <v>295</v>
      </c>
      <c r="C32" s="147" t="s">
        <v>124</v>
      </c>
      <c r="D32" s="704">
        <f>ROUND(107739.51*1.05,2)</f>
        <v>113126.49</v>
      </c>
      <c r="E32" s="704">
        <f>ROUND(120888.82*1.05,2)</f>
        <v>126933.26</v>
      </c>
      <c r="F32" s="704">
        <f>ROUND(142354.61*1.05,2)</f>
        <v>149472.34</v>
      </c>
      <c r="G32" s="705">
        <f>ROUND(155849.99*1.05,2)</f>
        <v>163642.49</v>
      </c>
      <c r="H32" s="704">
        <f>ROUND(149472.34*1.02,2)</f>
        <v>152461.79</v>
      </c>
      <c r="I32" s="704">
        <f>ROUND(163642.49*1.02,2)</f>
        <v>166915.34</v>
      </c>
      <c r="J32" s="56"/>
    </row>
    <row r="33" spans="1:10" ht="13.15" customHeight="1" x14ac:dyDescent="0.2">
      <c r="B33" s="205" t="s">
        <v>296</v>
      </c>
      <c r="C33" s="147" t="s">
        <v>125</v>
      </c>
      <c r="D33" s="704">
        <f>ROUND(106072.56*1.05,2)</f>
        <v>111376.19</v>
      </c>
      <c r="E33" s="704">
        <f>ROUND(119253.58*1.05,2)</f>
        <v>125216.26</v>
      </c>
      <c r="F33" s="704">
        <f>ROUND(142354.61*1.05,2)</f>
        <v>149472.34</v>
      </c>
      <c r="G33" s="705">
        <f>ROUND(155849.99*1.05,2)</f>
        <v>163642.49</v>
      </c>
      <c r="H33" s="704">
        <f>ROUND(149472.34*1.02,2)</f>
        <v>152461.79</v>
      </c>
      <c r="I33" s="704">
        <f>ROUND(163642.49*1.02,2)</f>
        <v>166915.34</v>
      </c>
      <c r="J33" s="56"/>
    </row>
    <row r="34" spans="1:10" ht="13.15" customHeight="1" x14ac:dyDescent="0.2">
      <c r="B34" s="184" t="s">
        <v>97</v>
      </c>
      <c r="C34" s="147" t="s">
        <v>115</v>
      </c>
      <c r="D34" s="704">
        <f>ROUND(99550.02*1.05,2)</f>
        <v>104527.52</v>
      </c>
      <c r="E34" s="704">
        <f>ROUND(110758.05*1.05,2)</f>
        <v>116295.95</v>
      </c>
      <c r="F34" s="704">
        <f>ROUND(125709.36*1.05,2)</f>
        <v>131994.82999999999</v>
      </c>
      <c r="G34" s="705">
        <f>ROUND(139204.74*1.05,2)</f>
        <v>146164.98000000001</v>
      </c>
      <c r="H34" s="704">
        <f>ROUND(131994.83*1.02,2)</f>
        <v>134634.73000000001</v>
      </c>
      <c r="I34" s="704">
        <f>ROUND(146164.98*1.02,2)</f>
        <v>149088.28</v>
      </c>
      <c r="J34" s="56"/>
    </row>
    <row r="35" spans="1:10" ht="13.15" customHeight="1" x14ac:dyDescent="0.2">
      <c r="B35" s="184" t="s">
        <v>98</v>
      </c>
      <c r="C35" s="147" t="s">
        <v>116</v>
      </c>
      <c r="D35" s="704">
        <f>ROUND(95536.47*1.05,2)</f>
        <v>100313.29</v>
      </c>
      <c r="E35" s="704">
        <f>ROUND(103861.88*1.05,2)</f>
        <v>109054.97</v>
      </c>
      <c r="F35" s="704">
        <f>ROUND(129989.06*1.05,2)</f>
        <v>136488.51</v>
      </c>
      <c r="G35" s="705">
        <f>ROUND(143727.41*1.05,2)</f>
        <v>150913.78</v>
      </c>
      <c r="H35" s="704">
        <f>ROUND(136488.51*1.02,2)</f>
        <v>139218.28</v>
      </c>
      <c r="I35" s="704">
        <f>ROUND(150913.78*1.02,2)</f>
        <v>153932.06</v>
      </c>
      <c r="J35" s="56"/>
    </row>
    <row r="36" spans="1:10" ht="13.15" customHeight="1" x14ac:dyDescent="0.2">
      <c r="B36" s="186" t="s">
        <v>99</v>
      </c>
      <c r="C36" s="147" t="s">
        <v>117</v>
      </c>
      <c r="D36" s="704">
        <f>ROUND(112845.94*1.02,2)</f>
        <v>115102.86</v>
      </c>
      <c r="E36" s="704">
        <f>ROUND(125982.69*1.02,2)</f>
        <v>128502.34</v>
      </c>
      <c r="F36" s="704">
        <f>ROUND(137159.83*1.08,2)</f>
        <v>148132.62</v>
      </c>
      <c r="G36" s="705">
        <f>ROUND(151310.32*1.08,2)</f>
        <v>163415.15</v>
      </c>
      <c r="H36" s="704">
        <f>ROUND(148132.62*1.02,2)</f>
        <v>151095.26999999999</v>
      </c>
      <c r="I36" s="704">
        <f>ROUND(163415.15*1.02,2)</f>
        <v>166683.45000000001</v>
      </c>
      <c r="J36" s="56"/>
    </row>
    <row r="37" spans="1:10" ht="13.15" customHeight="1" x14ac:dyDescent="0.2">
      <c r="B37" s="186" t="s">
        <v>100</v>
      </c>
      <c r="C37" s="147" t="s">
        <v>118</v>
      </c>
      <c r="D37" s="704">
        <f>ROUND(105385.18*1.02,2)</f>
        <v>107492.88</v>
      </c>
      <c r="E37" s="704">
        <f>ROUND(118317.34*1.02,2)</f>
        <v>120683.69</v>
      </c>
      <c r="F37" s="704">
        <f>ROUND(133014.8*1.08,2)</f>
        <v>143655.98000000001</v>
      </c>
      <c r="G37" s="705">
        <f>ROUND(147165.28*1.08,2)</f>
        <v>158938.5</v>
      </c>
      <c r="H37" s="704">
        <f>ROUND(143655.98*1.02,2)</f>
        <v>146529.1</v>
      </c>
      <c r="I37" s="704">
        <f>ROUND(158938.5*1.02,2)</f>
        <v>162117.26999999999</v>
      </c>
      <c r="J37" s="56"/>
    </row>
    <row r="38" spans="1:10" ht="13.15" customHeight="1" x14ac:dyDescent="0.2">
      <c r="B38" s="186" t="s">
        <v>101</v>
      </c>
      <c r="C38" s="147" t="s">
        <v>119</v>
      </c>
      <c r="D38" s="704">
        <f>ROUND(118137.15*1.02,2)</f>
        <v>120499.89</v>
      </c>
      <c r="E38" s="704">
        <f>ROUND(132338.37*1.02,2)</f>
        <v>134985.14000000001</v>
      </c>
      <c r="F38" s="704">
        <f>ROUND(136441.57*1.08,2)</f>
        <v>147356.9</v>
      </c>
      <c r="G38" s="705">
        <f>ROUND(150592.06*1.08,2)</f>
        <v>162639.42000000001</v>
      </c>
      <c r="H38" s="704">
        <f>ROUND(147356.9*1.02,2)</f>
        <v>150304.04</v>
      </c>
      <c r="I38" s="704">
        <f>ROUND(162639.42*1.02,2)</f>
        <v>165892.21</v>
      </c>
      <c r="J38" s="56"/>
    </row>
    <row r="39" spans="1:10" ht="13.15" customHeight="1" x14ac:dyDescent="0.2">
      <c r="B39" s="187" t="s">
        <v>102</v>
      </c>
      <c r="C39" s="188" t="s">
        <v>229</v>
      </c>
      <c r="D39" s="189">
        <f>ROUND(120431.06*1.02,2)</f>
        <v>122839.67999999999</v>
      </c>
      <c r="E39" s="189">
        <f>ROUND(134908.1*1.02,2)</f>
        <v>137606.26</v>
      </c>
      <c r="F39" s="189">
        <f>ROUND(135463.1*1.08,2)</f>
        <v>146300.15</v>
      </c>
      <c r="G39" s="190">
        <f>ROUND(149613.58*1.08,2)</f>
        <v>161582.67000000001</v>
      </c>
      <c r="H39" s="189">
        <f>ROUND(146300.15*1.02,2)</f>
        <v>149226.15</v>
      </c>
      <c r="I39" s="189">
        <f>ROUND(161582.67*1.02,2)</f>
        <v>164814.32</v>
      </c>
      <c r="J39" s="56"/>
    </row>
    <row r="40" spans="1:10" ht="13.9" customHeight="1" x14ac:dyDescent="0.2">
      <c r="B40" s="832"/>
      <c r="C40" s="832"/>
      <c r="D40" s="832"/>
      <c r="E40" s="832"/>
      <c r="F40" s="149"/>
      <c r="G40" s="143"/>
      <c r="H40" s="143"/>
      <c r="I40" s="143"/>
    </row>
    <row r="41" spans="1:10" ht="27.75" customHeight="1" x14ac:dyDescent="0.2">
      <c r="B41" s="176" t="s">
        <v>126</v>
      </c>
      <c r="C41" s="172"/>
      <c r="D41" s="401"/>
      <c r="E41" s="402"/>
      <c r="F41" s="143"/>
      <c r="G41" s="143"/>
      <c r="H41" s="143"/>
      <c r="I41" s="143"/>
    </row>
    <row r="42" spans="1:10" ht="27.95" customHeight="1" x14ac:dyDescent="0.2">
      <c r="B42" s="208" t="s">
        <v>287</v>
      </c>
      <c r="C42" s="177" t="s">
        <v>288</v>
      </c>
      <c r="D42" s="403" t="s">
        <v>283</v>
      </c>
      <c r="E42" s="404" t="s">
        <v>284</v>
      </c>
      <c r="F42" s="207" t="s">
        <v>333</v>
      </c>
      <c r="G42" s="207" t="s">
        <v>334</v>
      </c>
      <c r="H42" s="207"/>
      <c r="I42" s="207"/>
    </row>
    <row r="43" spans="1:10" ht="13.15" customHeight="1" x14ac:dyDescent="0.2">
      <c r="B43" s="202" t="s">
        <v>291</v>
      </c>
      <c r="C43" s="144" t="s">
        <v>169</v>
      </c>
      <c r="D43" s="704">
        <f>ROUND(104019.58*1.05,2)</f>
        <v>109220.56</v>
      </c>
      <c r="E43" s="704">
        <f>ROUND(117717.35*1.05,2)</f>
        <v>123603.22</v>
      </c>
      <c r="F43" s="143"/>
      <c r="G43" s="143"/>
      <c r="H43" s="143"/>
      <c r="I43" s="143"/>
      <c r="J43" s="56"/>
    </row>
    <row r="44" spans="1:10" ht="13.15" customHeight="1" x14ac:dyDescent="0.2">
      <c r="B44" s="201" t="s">
        <v>292</v>
      </c>
      <c r="C44" s="144" t="s">
        <v>8</v>
      </c>
      <c r="D44" s="704">
        <f>ROUND(101639.17*1.05,2)</f>
        <v>106721.13</v>
      </c>
      <c r="E44" s="704">
        <f>ROUND(115382.23*1.05,2)</f>
        <v>121151.34</v>
      </c>
      <c r="F44" s="143"/>
      <c r="G44" s="143"/>
      <c r="H44" s="143"/>
      <c r="I44" s="143"/>
      <c r="J44" s="56"/>
    </row>
    <row r="45" spans="1:10" ht="13.9" customHeight="1" x14ac:dyDescent="0.2">
      <c r="B45" s="203" t="s">
        <v>293</v>
      </c>
      <c r="C45" s="147" t="s">
        <v>20</v>
      </c>
      <c r="D45" s="704">
        <f>ROUND(91087.24*1.05,2)</f>
        <v>95641.600000000006</v>
      </c>
      <c r="E45" s="704">
        <f>ROUND(104553.74*1.05,2)</f>
        <v>109781.43</v>
      </c>
      <c r="F45" s="143"/>
      <c r="G45" s="143"/>
      <c r="H45" s="143"/>
      <c r="I45" s="143"/>
      <c r="J45" s="56"/>
    </row>
    <row r="46" spans="1:10" ht="13.9" customHeight="1" x14ac:dyDescent="0.2">
      <c r="A46" s="63"/>
      <c r="B46" s="201" t="s">
        <v>294</v>
      </c>
      <c r="C46" s="144" t="s">
        <v>96</v>
      </c>
      <c r="D46" s="704">
        <f>ROUND(87804.15*1.05,2)</f>
        <v>92194.36</v>
      </c>
      <c r="E46" s="704">
        <f>ROUND(101333.19*1.05,2)</f>
        <v>106399.85</v>
      </c>
      <c r="F46" s="141"/>
      <c r="G46" s="141"/>
      <c r="H46" s="141"/>
      <c r="I46" s="141"/>
      <c r="J46" s="56"/>
    </row>
    <row r="47" spans="1:10" ht="13.9" customHeight="1" x14ac:dyDescent="0.2">
      <c r="A47" s="63"/>
      <c r="B47" s="204" t="s">
        <v>295</v>
      </c>
      <c r="C47" s="147" t="s">
        <v>20</v>
      </c>
      <c r="D47" s="704">
        <f>ROUND(89462.29*1.05,2)</f>
        <v>93935.4</v>
      </c>
      <c r="E47" s="704">
        <f>ROUND(102959.73*1.05,2)</f>
        <v>108107.72</v>
      </c>
      <c r="F47" s="141"/>
      <c r="G47" s="141"/>
      <c r="H47" s="141"/>
      <c r="I47" s="141"/>
      <c r="J47" s="56"/>
    </row>
    <row r="48" spans="1:10" x14ac:dyDescent="0.2">
      <c r="B48" s="205" t="s">
        <v>296</v>
      </c>
      <c r="C48" s="144" t="s">
        <v>96</v>
      </c>
      <c r="D48" s="704">
        <f>ROUND(88078.65*1.05,2)</f>
        <v>92482.58</v>
      </c>
      <c r="E48" s="704">
        <f>ROUND(101602.46*1.05,2)</f>
        <v>106682.58</v>
      </c>
      <c r="F48" s="141"/>
      <c r="G48" s="141"/>
      <c r="H48" s="141"/>
      <c r="I48" s="141"/>
      <c r="J48" s="56"/>
    </row>
    <row r="49" spans="2:10" x14ac:dyDescent="0.2">
      <c r="B49" s="150"/>
      <c r="C49" s="151"/>
      <c r="D49" s="141"/>
      <c r="E49" s="141"/>
      <c r="F49" s="149"/>
      <c r="G49" s="141"/>
      <c r="H49" s="141"/>
      <c r="I49" s="141"/>
    </row>
    <row r="50" spans="2:10" ht="13.5" customHeight="1" x14ac:dyDescent="0.2">
      <c r="B50" s="212"/>
      <c r="C50" s="196"/>
      <c r="D50" s="213"/>
      <c r="E50" s="214"/>
      <c r="F50" s="214"/>
      <c r="G50" s="214"/>
      <c r="H50" s="749"/>
      <c r="I50" s="215"/>
    </row>
    <row r="51" spans="2:10" ht="14.25" customHeight="1" x14ac:dyDescent="0.2">
      <c r="B51" s="183" t="s">
        <v>287</v>
      </c>
      <c r="C51" s="182" t="s">
        <v>288</v>
      </c>
      <c r="D51" s="216" t="s">
        <v>283</v>
      </c>
      <c r="E51" s="217" t="s">
        <v>284</v>
      </c>
      <c r="F51" s="217" t="s">
        <v>333</v>
      </c>
      <c r="G51" s="217" t="s">
        <v>334</v>
      </c>
      <c r="H51" s="216" t="s">
        <v>336</v>
      </c>
      <c r="I51" s="748" t="s">
        <v>337</v>
      </c>
    </row>
    <row r="52" spans="2:10" x14ac:dyDescent="0.2">
      <c r="B52" s="184" t="s">
        <v>92</v>
      </c>
      <c r="C52" s="147" t="s">
        <v>17</v>
      </c>
      <c r="D52" s="704">
        <f>ROUND(100266.41*1.05,2)</f>
        <v>105279.73</v>
      </c>
      <c r="E52" s="704">
        <f>ROUND(113923.93*1.05,2)</f>
        <v>119620.13</v>
      </c>
      <c r="F52" s="704">
        <f>ROUND(150074.23*1.05,2)</f>
        <v>157577.94</v>
      </c>
      <c r="G52" s="705">
        <f>ROUND(163570.16*1.05,2)</f>
        <v>171748.67</v>
      </c>
      <c r="H52" s="770">
        <f>ROUND(157577.94*1.02,2)</f>
        <v>160729.5</v>
      </c>
      <c r="I52" s="770">
        <f>ROUND(171748.67*1.02,2)</f>
        <v>175183.64</v>
      </c>
      <c r="J52" s="96"/>
    </row>
    <row r="53" spans="2:10" x14ac:dyDescent="0.2">
      <c r="B53" s="184" t="s">
        <v>94</v>
      </c>
      <c r="C53" s="147" t="s">
        <v>18</v>
      </c>
      <c r="D53" s="704">
        <f>ROUND(93046.46*1.05,2)</f>
        <v>97698.78</v>
      </c>
      <c r="E53" s="704">
        <f>ROUND(106475.67*1.05,2)</f>
        <v>111799.45</v>
      </c>
      <c r="F53" s="704">
        <f>ROUND(142618.79*1.05,2)</f>
        <v>149749.73000000001</v>
      </c>
      <c r="G53" s="705">
        <f>ROUND(156114.65*1.05,2)</f>
        <v>163920.38</v>
      </c>
      <c r="H53" s="704">
        <f>ROUND(149749.73*1.02,2)</f>
        <v>152744.72</v>
      </c>
      <c r="I53" s="704">
        <f>ROUND(163920.38*1.02,2)</f>
        <v>167198.79</v>
      </c>
      <c r="J53" s="96"/>
    </row>
    <row r="54" spans="2:10" x14ac:dyDescent="0.2">
      <c r="B54" s="184" t="s">
        <v>95</v>
      </c>
      <c r="C54" s="147" t="s">
        <v>19</v>
      </c>
      <c r="D54" s="704">
        <f>ROUND(91388.34*1.05,2)</f>
        <v>95957.759999999995</v>
      </c>
      <c r="E54" s="704">
        <f>ROUND(104849.08*1.05,2)</f>
        <v>110091.53</v>
      </c>
      <c r="F54" s="704">
        <f>ROUND(140077.65*1.05,2)</f>
        <v>147081.53</v>
      </c>
      <c r="G54" s="705">
        <f>ROUND(153573.57*1.05,2)</f>
        <v>161252.25</v>
      </c>
      <c r="H54" s="704">
        <f>ROUND(147081.53*1.02,2)</f>
        <v>150023.16</v>
      </c>
      <c r="I54" s="704">
        <f>ROUND(161252.25*1.02,2)</f>
        <v>164477.29999999999</v>
      </c>
      <c r="J54" s="96"/>
    </row>
    <row r="55" spans="2:10" x14ac:dyDescent="0.2">
      <c r="B55" s="187" t="s">
        <v>98</v>
      </c>
      <c r="C55" s="188" t="s">
        <v>21</v>
      </c>
      <c r="D55" s="189">
        <f>ROUND(88773.56*1.02,2)</f>
        <v>90549.03</v>
      </c>
      <c r="E55" s="189">
        <f>ROUND(95975.97*1.02,2)</f>
        <v>97895.49</v>
      </c>
      <c r="F55" s="189">
        <f>ROUND(143437.65*1.05,2)</f>
        <v>150609.53</v>
      </c>
      <c r="G55" s="190">
        <f>ROUND(157176.47*1.05,2)</f>
        <v>165035.29</v>
      </c>
      <c r="H55" s="189">
        <f>ROUND(150609.53*1.02,2)</f>
        <v>153621.72</v>
      </c>
      <c r="I55" s="189">
        <f>ROUND(165035.29*1.02,2)</f>
        <v>168336</v>
      </c>
      <c r="J55" s="96"/>
    </row>
    <row r="56" spans="2:10" x14ac:dyDescent="0.2">
      <c r="B56" s="150"/>
      <c r="C56" s="151"/>
      <c r="D56" s="141"/>
      <c r="E56" s="141"/>
      <c r="F56" s="141"/>
      <c r="G56" s="141"/>
      <c r="H56" s="141"/>
      <c r="I56" s="141"/>
    </row>
    <row r="57" spans="2:10" ht="43.5" customHeight="1" x14ac:dyDescent="0.2">
      <c r="B57" s="175"/>
      <c r="C57" s="172"/>
      <c r="D57" s="211"/>
      <c r="E57" s="211"/>
      <c r="F57" s="152"/>
      <c r="G57" s="152"/>
      <c r="H57" s="152"/>
      <c r="I57" s="152"/>
    </row>
    <row r="58" spans="2:10" ht="14.25" customHeight="1" x14ac:dyDescent="0.2">
      <c r="B58" s="208" t="s">
        <v>287</v>
      </c>
      <c r="C58" s="177" t="s">
        <v>288</v>
      </c>
      <c r="D58" s="218" t="s">
        <v>283</v>
      </c>
      <c r="E58" s="218" t="s">
        <v>284</v>
      </c>
      <c r="F58" s="219" t="s">
        <v>333</v>
      </c>
      <c r="G58" s="219" t="s">
        <v>334</v>
      </c>
      <c r="H58" s="219"/>
      <c r="I58" s="219"/>
    </row>
    <row r="59" spans="2:10" x14ac:dyDescent="0.2">
      <c r="B59" s="184" t="s">
        <v>98</v>
      </c>
      <c r="C59" s="144" t="s">
        <v>179</v>
      </c>
      <c r="D59" s="704">
        <f>ROUND(102079.46*1.02,2)</f>
        <v>104121.05</v>
      </c>
      <c r="E59" s="704">
        <f>ROUND(109169.92*1.02,2)</f>
        <v>111353.32</v>
      </c>
      <c r="F59" s="141"/>
      <c r="G59" s="141"/>
      <c r="H59" s="141"/>
      <c r="I59" s="141"/>
      <c r="J59" s="56"/>
    </row>
    <row r="60" spans="2:10" x14ac:dyDescent="0.2">
      <c r="B60" s="150"/>
      <c r="C60" s="151"/>
      <c r="D60" s="141"/>
      <c r="E60" s="141"/>
      <c r="F60" s="141"/>
      <c r="G60" s="141"/>
      <c r="H60" s="141"/>
      <c r="I60" s="141"/>
    </row>
    <row r="61" spans="2:10" ht="13.9" customHeight="1" x14ac:dyDescent="0.2">
      <c r="B61" s="175"/>
      <c r="C61" s="175"/>
      <c r="D61" s="211"/>
      <c r="E61" s="211"/>
      <c r="F61" s="211"/>
      <c r="G61" s="750"/>
      <c r="H61" s="213"/>
      <c r="I61" s="754"/>
    </row>
    <row r="62" spans="2:10" ht="14.25" customHeight="1" x14ac:dyDescent="0.2">
      <c r="B62" s="220" t="s">
        <v>287</v>
      </c>
      <c r="C62" s="221" t="s">
        <v>288</v>
      </c>
      <c r="D62" s="222" t="s">
        <v>283</v>
      </c>
      <c r="E62" s="222" t="s">
        <v>284</v>
      </c>
      <c r="F62" s="222" t="s">
        <v>333</v>
      </c>
      <c r="G62" s="223" t="s">
        <v>334</v>
      </c>
      <c r="H62" s="222" t="s">
        <v>336</v>
      </c>
      <c r="I62" s="222" t="s">
        <v>337</v>
      </c>
    </row>
    <row r="63" spans="2:10" x14ac:dyDescent="0.2">
      <c r="B63" s="184" t="s">
        <v>92</v>
      </c>
      <c r="C63" s="147" t="s">
        <v>226</v>
      </c>
      <c r="D63" s="704">
        <f>ROUND(123168.55*1.05,2)</f>
        <v>129326.98</v>
      </c>
      <c r="E63" s="704">
        <f>ROUND(132970.55*1.05,2)</f>
        <v>139619.07999999999</v>
      </c>
      <c r="F63" s="704">
        <f>ROUND(178099.78*1.05,2)</f>
        <v>187004.77</v>
      </c>
      <c r="G63" s="705">
        <f>ROUND(191595.68*1.05,2)</f>
        <v>201175.46</v>
      </c>
      <c r="H63" s="770">
        <f>ROUND(187004.77*1.02,2)</f>
        <v>190744.87</v>
      </c>
      <c r="I63" s="770">
        <f>ROUND(201175.46*1.02,2)</f>
        <v>205198.97</v>
      </c>
      <c r="J63" s="56"/>
    </row>
    <row r="64" spans="2:10" x14ac:dyDescent="0.2">
      <c r="B64" s="184" t="s">
        <v>94</v>
      </c>
      <c r="C64" s="147" t="s">
        <v>18</v>
      </c>
      <c r="D64" s="704">
        <f>ROUND(111653.52*1.05,2)</f>
        <v>117236.2</v>
      </c>
      <c r="E64" s="704">
        <f>ROUND(124728.27*1.05,2)</f>
        <v>130964.68</v>
      </c>
      <c r="F64" s="704">
        <f>ROUND(173420.22*1.05,2)</f>
        <v>182091.23</v>
      </c>
      <c r="G64" s="705">
        <f>ROUND(186916.11*1.05,2)</f>
        <v>196261.92</v>
      </c>
      <c r="H64" s="704">
        <f>ROUND(182091.23*1.02,2)</f>
        <v>185733.05</v>
      </c>
      <c r="I64" s="704">
        <f>ROUND(196261.92*1.02,2)</f>
        <v>200187.16</v>
      </c>
      <c r="J64" s="56"/>
    </row>
    <row r="65" spans="2:10" x14ac:dyDescent="0.2">
      <c r="B65" s="184" t="s">
        <v>95</v>
      </c>
      <c r="C65" s="147" t="s">
        <v>19</v>
      </c>
      <c r="D65" s="704">
        <f>ROUND(110577.63*1.05,2)</f>
        <v>116106.51</v>
      </c>
      <c r="E65" s="704">
        <f>ROUND(123672.89*1.05,2)</f>
        <v>129856.53</v>
      </c>
      <c r="F65" s="704">
        <f>ROUND(171750.57*1.05,2)</f>
        <v>180338.1</v>
      </c>
      <c r="G65" s="705">
        <f>ROUND(185246.46*1.05,2)</f>
        <v>194508.78</v>
      </c>
      <c r="H65" s="704">
        <f>ROUND(180338.1*1.02,2)</f>
        <v>183944.86</v>
      </c>
      <c r="I65" s="704">
        <f>ROUND(194508.78*1.02,2)</f>
        <v>198398.96</v>
      </c>
      <c r="J65" s="56"/>
    </row>
    <row r="66" spans="2:10" x14ac:dyDescent="0.2">
      <c r="B66" s="184" t="s">
        <v>98</v>
      </c>
      <c r="C66" s="147" t="s">
        <v>103</v>
      </c>
      <c r="D66" s="704">
        <f>ROUND(116728.23*1.02,2)</f>
        <v>119062.79</v>
      </c>
      <c r="E66" s="704">
        <f>ROUND(123164.42*1.02,2)</f>
        <v>125627.71</v>
      </c>
      <c r="F66" s="704">
        <f>ROUND(174418.77*1.05,2)</f>
        <v>183139.71</v>
      </c>
      <c r="G66" s="705">
        <f>ROUND(188157.6*1.05,2)</f>
        <v>197565.48</v>
      </c>
      <c r="H66" s="704">
        <f>ROUND(183139.71*1.02,2)</f>
        <v>186802.5</v>
      </c>
      <c r="I66" s="704">
        <f>ROUND(197565.48*1.02,2)</f>
        <v>201516.79</v>
      </c>
      <c r="J66" s="56"/>
    </row>
    <row r="67" spans="2:10" x14ac:dyDescent="0.2">
      <c r="B67" s="199" t="s">
        <v>100</v>
      </c>
      <c r="C67" s="188" t="s">
        <v>22</v>
      </c>
      <c r="D67" s="189">
        <f>ROUND(133663.49*1.02,2)</f>
        <v>136336.76</v>
      </c>
      <c r="E67" s="189">
        <f>ROUND(145264.48*1.02,2)</f>
        <v>148169.76999999999</v>
      </c>
      <c r="F67" s="189">
        <f>ROUND(179651.33*1.08,2)</f>
        <v>194023.44</v>
      </c>
      <c r="G67" s="190">
        <f>ROUND(193802.33*1.08,2)</f>
        <v>209306.52</v>
      </c>
      <c r="H67" s="189">
        <f>ROUND(194023.44*1.02,2)</f>
        <v>197903.91</v>
      </c>
      <c r="I67" s="189">
        <f>ROUND(209306.52*1.02,2)</f>
        <v>213492.65</v>
      </c>
      <c r="J67" s="56"/>
    </row>
    <row r="68" spans="2:10" x14ac:dyDescent="0.2">
      <c r="B68" s="153"/>
      <c r="C68" s="154"/>
      <c r="D68" s="153"/>
      <c r="E68" s="142"/>
      <c r="F68" s="143"/>
      <c r="G68" s="143"/>
      <c r="H68" s="143"/>
      <c r="I68" s="143"/>
    </row>
    <row r="69" spans="2:10" ht="13.9" customHeight="1" x14ac:dyDescent="0.2">
      <c r="B69" s="212" t="s">
        <v>23</v>
      </c>
      <c r="C69" s="224"/>
      <c r="D69" s="225"/>
      <c r="E69" s="226"/>
      <c r="F69" s="226"/>
      <c r="G69" s="227"/>
      <c r="H69" s="739"/>
      <c r="I69" s="739"/>
    </row>
    <row r="70" spans="2:10" ht="14.45" customHeight="1" x14ac:dyDescent="0.2">
      <c r="B70" s="228" t="s">
        <v>287</v>
      </c>
      <c r="C70" s="220" t="s">
        <v>288</v>
      </c>
      <c r="D70" s="229" t="s">
        <v>283</v>
      </c>
      <c r="E70" s="230" t="s">
        <v>284</v>
      </c>
      <c r="F70" s="230" t="s">
        <v>333</v>
      </c>
      <c r="G70" s="751" t="s">
        <v>334</v>
      </c>
      <c r="H70" s="740"/>
      <c r="I70" s="740"/>
    </row>
    <row r="71" spans="2:10" x14ac:dyDescent="0.2">
      <c r="B71" s="231" t="s">
        <v>98</v>
      </c>
      <c r="C71" s="147" t="s">
        <v>299</v>
      </c>
      <c r="D71" s="704">
        <f t="shared" ref="D71" si="0">ROUND(94126.07*1.02,2)</f>
        <v>96008.59</v>
      </c>
      <c r="E71" s="704">
        <f t="shared" ref="E71" si="1">ROUND(101811.69*1.02,2)</f>
        <v>103847.92</v>
      </c>
      <c r="F71" s="189">
        <f>ROUND(114350.49*1.05,2)</f>
        <v>120068.01</v>
      </c>
      <c r="G71" s="190">
        <f>ROUND(128089.31*1.05,2)</f>
        <v>134493.78</v>
      </c>
      <c r="H71" s="141"/>
      <c r="I71" s="141"/>
      <c r="J71" s="56"/>
    </row>
    <row r="72" spans="2:10" x14ac:dyDescent="0.2">
      <c r="B72" s="233" t="s">
        <v>100</v>
      </c>
      <c r="C72" s="188" t="s">
        <v>300</v>
      </c>
      <c r="D72" s="189"/>
      <c r="E72" s="189"/>
      <c r="F72" s="189">
        <f>ROUND(115666.47*1.08,2)</f>
        <v>124919.79</v>
      </c>
      <c r="G72" s="190">
        <f>ROUND(129817.45*1.08,2)</f>
        <v>140202.85</v>
      </c>
      <c r="H72" s="141"/>
      <c r="I72" s="141"/>
      <c r="J72" s="56"/>
    </row>
    <row r="73" spans="2:10" s="13" customFormat="1" ht="12.75" hidden="1" x14ac:dyDescent="0.2"/>
    <row r="74" spans="2:10" hidden="1" x14ac:dyDescent="0.2">
      <c r="B74" s="637" t="s">
        <v>287</v>
      </c>
      <c r="C74" s="638" t="s">
        <v>288</v>
      </c>
      <c r="D74" s="639" t="s">
        <v>283</v>
      </c>
      <c r="E74" s="639" t="s">
        <v>284</v>
      </c>
      <c r="F74" s="639" t="s">
        <v>333</v>
      </c>
      <c r="G74" s="639" t="s">
        <v>334</v>
      </c>
      <c r="H74" s="639"/>
      <c r="I74" s="639"/>
      <c r="J74" s="56"/>
    </row>
    <row r="75" spans="2:10" x14ac:dyDescent="0.2">
      <c r="B75" s="232" t="s">
        <v>98</v>
      </c>
      <c r="C75" s="210"/>
      <c r="D75" s="704">
        <f>ROUND(125709.92*1.02,2)</f>
        <v>128224.12</v>
      </c>
      <c r="E75" s="704">
        <f>ROUND(136947.35*1.02,2)</f>
        <v>139686.29999999999</v>
      </c>
      <c r="F75" s="189">
        <f>ROUND(146665.58*1.05,2)</f>
        <v>153998.85999999999</v>
      </c>
      <c r="G75" s="190">
        <f>ROUND(159511.95*1.05,2)</f>
        <v>167487.54999999999</v>
      </c>
      <c r="H75" s="141"/>
      <c r="I75" s="141"/>
      <c r="J75" s="56"/>
    </row>
    <row r="76" spans="2:10" x14ac:dyDescent="0.2">
      <c r="B76" s="343" t="s">
        <v>100</v>
      </c>
      <c r="C76" s="344"/>
      <c r="D76" s="189">
        <f>ROUND(137340.14*1.02,2)</f>
        <v>140086.94</v>
      </c>
      <c r="E76" s="189">
        <f>ROUND(150339.07*1.02,2)</f>
        <v>153345.85</v>
      </c>
      <c r="F76" s="189">
        <f>ROUND(151103.26*1.05,2)</f>
        <v>158658.42000000001</v>
      </c>
      <c r="G76" s="190">
        <f>ROUND(165124.99*1.05,2)</f>
        <v>173381.24</v>
      </c>
      <c r="H76" s="141"/>
      <c r="I76" s="141"/>
      <c r="J76" s="56"/>
    </row>
    <row r="77" spans="2:10" x14ac:dyDescent="0.2">
      <c r="B77" s="155"/>
      <c r="C77" s="155"/>
      <c r="D77" s="141"/>
      <c r="E77" s="141"/>
      <c r="F77" s="141"/>
      <c r="G77" s="141"/>
      <c r="H77" s="141"/>
      <c r="I77" s="141"/>
      <c r="J77" s="56"/>
    </row>
    <row r="78" spans="2:10" ht="15" x14ac:dyDescent="0.2">
      <c r="B78" s="235" t="s">
        <v>230</v>
      </c>
      <c r="C78" s="236"/>
      <c r="D78" s="235"/>
      <c r="E78" s="238"/>
      <c r="F78" s="238"/>
      <c r="G78" s="238"/>
      <c r="H78" s="755"/>
      <c r="I78" s="141"/>
    </row>
    <row r="79" spans="2:10" x14ac:dyDescent="0.2">
      <c r="B79" s="237" t="s">
        <v>287</v>
      </c>
      <c r="C79" s="201" t="s">
        <v>288</v>
      </c>
      <c r="D79" s="234" t="s">
        <v>283</v>
      </c>
      <c r="E79" s="239" t="s">
        <v>284</v>
      </c>
      <c r="F79" s="239" t="s">
        <v>333</v>
      </c>
      <c r="G79" s="239" t="s">
        <v>334</v>
      </c>
      <c r="H79" s="756"/>
      <c r="I79" s="638"/>
    </row>
    <row r="80" spans="2:10" x14ac:dyDescent="0.2">
      <c r="B80" s="199" t="s">
        <v>98</v>
      </c>
      <c r="C80" s="209" t="s">
        <v>179</v>
      </c>
      <c r="D80" s="189">
        <f>ROUND(155870.63*1.02,2)</f>
        <v>158988.04</v>
      </c>
      <c r="E80" s="189">
        <f>ROUND(160289.72*1.02,2)</f>
        <v>163495.51</v>
      </c>
      <c r="F80" s="189"/>
      <c r="G80" s="190"/>
      <c r="H80" s="141"/>
      <c r="I80" s="141"/>
    </row>
    <row r="81" spans="2:9" x14ac:dyDescent="0.2">
      <c r="B81" s="150"/>
      <c r="C81" s="151"/>
      <c r="D81" s="141"/>
      <c r="E81" s="141"/>
      <c r="F81" s="141"/>
      <c r="G81" s="141"/>
      <c r="H81" s="141"/>
      <c r="I81" s="141"/>
    </row>
    <row r="82" spans="2:9" ht="15.95" customHeight="1" x14ac:dyDescent="0.2">
      <c r="B82" s="667"/>
      <c r="C82" s="350"/>
      <c r="D82" s="685" t="s">
        <v>460</v>
      </c>
      <c r="E82" s="686"/>
      <c r="F82" s="687"/>
      <c r="G82" s="687"/>
      <c r="H82" s="687"/>
      <c r="I82" s="688"/>
    </row>
    <row r="83" spans="2:9" ht="15.95" customHeight="1" x14ac:dyDescent="0.2">
      <c r="B83" s="674" t="s">
        <v>287</v>
      </c>
      <c r="C83" s="669" t="s">
        <v>288</v>
      </c>
      <c r="D83" s="668" t="s">
        <v>283</v>
      </c>
      <c r="E83" s="670" t="s">
        <v>284</v>
      </c>
      <c r="F83" s="671" t="s">
        <v>333</v>
      </c>
      <c r="G83" s="671" t="s">
        <v>334</v>
      </c>
      <c r="H83" s="671" t="s">
        <v>336</v>
      </c>
      <c r="I83" s="752" t="s">
        <v>337</v>
      </c>
    </row>
    <row r="84" spans="2:9" x14ac:dyDescent="0.2">
      <c r="B84" s="675" t="s">
        <v>289</v>
      </c>
      <c r="C84" s="144" t="s">
        <v>455</v>
      </c>
      <c r="D84" s="704">
        <f>ROUND(128473.17*1.05,2)</f>
        <v>134896.82999999999</v>
      </c>
      <c r="E84" s="704">
        <f>ROUND(143875.99*1.05,2)</f>
        <v>151069.79</v>
      </c>
      <c r="F84" s="704">
        <f>ROUND(160785.08*1.05,2)</f>
        <v>168824.33</v>
      </c>
      <c r="G84" s="705">
        <f>ROUND(175853.41*1.05,2)</f>
        <v>184646.08</v>
      </c>
      <c r="H84" s="770">
        <f>ROUND(168824.33*1.02,2)</f>
        <v>172200.82</v>
      </c>
      <c r="I84" s="770">
        <f>ROUND(184646.08*1.02,2)</f>
        <v>188339</v>
      </c>
    </row>
    <row r="85" spans="2:9" x14ac:dyDescent="0.2">
      <c r="B85" s="201" t="s">
        <v>290</v>
      </c>
      <c r="C85" s="145" t="s">
        <v>105</v>
      </c>
      <c r="D85" s="704">
        <f>ROUND(118199.84*1.05,2)</f>
        <v>124109.83</v>
      </c>
      <c r="E85" s="704">
        <f>ROUND(127706.48*1.05,2)</f>
        <v>134091.79999999999</v>
      </c>
      <c r="F85" s="704">
        <f>ROUND(148669.07*1.05,2)</f>
        <v>156102.51999999999</v>
      </c>
      <c r="G85" s="705">
        <f>ROUND(163737.4*1.05,2)</f>
        <v>171924.27</v>
      </c>
      <c r="H85" s="704">
        <f>ROUND(156102.52*1.02,2)</f>
        <v>159224.57</v>
      </c>
      <c r="I85" s="704">
        <f>ROUND(171924.27*1.02,2)</f>
        <v>175362.76</v>
      </c>
    </row>
    <row r="86" spans="2:9" x14ac:dyDescent="0.2">
      <c r="B86" s="202" t="s">
        <v>291</v>
      </c>
      <c r="C86" s="144" t="s">
        <v>456</v>
      </c>
      <c r="D86" s="704">
        <f>ROUND(110084.68*1.05,2)</f>
        <v>115588.91</v>
      </c>
      <c r="E86" s="704">
        <f>ROUND(123641.75*1.05,2)</f>
        <v>129823.84</v>
      </c>
      <c r="F86" s="704">
        <f>ROUND(143054.37*1.05,2)</f>
        <v>150207.09</v>
      </c>
      <c r="G86" s="705">
        <f>ROUND(156550.31*1.05,2)</f>
        <v>164377.82999999999</v>
      </c>
      <c r="H86" s="704">
        <f>ROUND(150207.09*1.02,2)</f>
        <v>153211.23000000001</v>
      </c>
      <c r="I86" s="704">
        <f>ROUND(164377.83*1.02,2)</f>
        <v>167665.39000000001</v>
      </c>
    </row>
    <row r="87" spans="2:9" x14ac:dyDescent="0.2">
      <c r="B87" s="201" t="s">
        <v>292</v>
      </c>
      <c r="C87" s="144" t="s">
        <v>457</v>
      </c>
      <c r="D87" s="704">
        <f>ROUND(107524.69*1.05,2)</f>
        <v>112900.92</v>
      </c>
      <c r="E87" s="704">
        <f>ROUND(121130.65*1.05,2)</f>
        <v>127187.18</v>
      </c>
      <c r="F87" s="704">
        <f>ROUND(143054.37*1.05,2)</f>
        <v>150207.09</v>
      </c>
      <c r="G87" s="705">
        <f>ROUND(156550.31*1.05,2)</f>
        <v>164377.82999999999</v>
      </c>
      <c r="H87" s="704">
        <f>ROUND(150207.09*1.02,2)</f>
        <v>153211.23000000001</v>
      </c>
      <c r="I87" s="704">
        <f>ROUND(164377.83*1.02,2)</f>
        <v>167665.39000000001</v>
      </c>
    </row>
    <row r="88" spans="2:9" x14ac:dyDescent="0.2">
      <c r="B88" s="203" t="s">
        <v>293</v>
      </c>
      <c r="C88" s="144" t="s">
        <v>458</v>
      </c>
      <c r="D88" s="704">
        <f>ROUND(102485.81*1.05,2)</f>
        <v>107610.1</v>
      </c>
      <c r="E88" s="704">
        <f>ROUND(115821.1*1.05,2)</f>
        <v>121612.16</v>
      </c>
      <c r="F88" s="704">
        <f>ROUND(135896.17*1.05,2)</f>
        <v>142690.98000000001</v>
      </c>
      <c r="G88" s="705">
        <f>ROUND(149392.1*1.05,2)</f>
        <v>156861.71</v>
      </c>
      <c r="H88" s="704">
        <f>ROUND(142690.98*1.02,2)</f>
        <v>145544.79999999999</v>
      </c>
      <c r="I88" s="704">
        <f>ROUND(156861.71*1.02,2)</f>
        <v>159998.94</v>
      </c>
    </row>
    <row r="89" spans="2:9" x14ac:dyDescent="0.2">
      <c r="B89" s="345" t="s">
        <v>294</v>
      </c>
      <c r="C89" s="209" t="s">
        <v>459</v>
      </c>
      <c r="D89" s="189">
        <f>ROUND(98955.26*1.05,2)</f>
        <v>103903.02</v>
      </c>
      <c r="E89" s="189">
        <f>ROUND(112357.31*1.05,2)</f>
        <v>117975.18</v>
      </c>
      <c r="F89" s="189">
        <f>ROUND(135896.17*1.05,2)</f>
        <v>142690.98000000001</v>
      </c>
      <c r="G89" s="190">
        <f>ROUND(149392.1*1.05,2)</f>
        <v>156861.71</v>
      </c>
      <c r="H89" s="189">
        <f>ROUND(142690.98*1.02,2)</f>
        <v>145544.79999999999</v>
      </c>
      <c r="I89" s="189">
        <f>ROUND(156861.71*1.02,2)</f>
        <v>159998.94</v>
      </c>
    </row>
    <row r="91" spans="2:9" ht="22.5" customHeight="1" x14ac:dyDescent="0.2">
      <c r="B91" s="672" t="s">
        <v>287</v>
      </c>
      <c r="C91" s="669" t="s">
        <v>288</v>
      </c>
      <c r="D91" s="668" t="s">
        <v>283</v>
      </c>
      <c r="E91" s="670" t="s">
        <v>284</v>
      </c>
      <c r="F91" s="671" t="s">
        <v>333</v>
      </c>
      <c r="G91" s="671" t="s">
        <v>334</v>
      </c>
      <c r="H91" s="757" t="s">
        <v>336</v>
      </c>
      <c r="I91" s="753" t="s">
        <v>337</v>
      </c>
    </row>
    <row r="92" spans="2:9" x14ac:dyDescent="0.2">
      <c r="B92" s="673" t="s">
        <v>98</v>
      </c>
      <c r="C92" s="209" t="s">
        <v>461</v>
      </c>
      <c r="D92" s="189">
        <f>ROUND(81882.28*1.02,2)</f>
        <v>83519.929999999993</v>
      </c>
      <c r="E92" s="189">
        <f>ROUND(85821*1.02,2)</f>
        <v>87537.42</v>
      </c>
      <c r="F92" s="189">
        <f>ROUND(116719.38*1.05,2)</f>
        <v>122555.35</v>
      </c>
      <c r="G92" s="190">
        <f>ROUND(129771.39*1.05,2)</f>
        <v>136259.96</v>
      </c>
      <c r="H92" s="189">
        <f>ROUND(122555.35*1.02,2)</f>
        <v>125006.46</v>
      </c>
      <c r="I92" s="189">
        <f>ROUND(136259.96*1.02,2)</f>
        <v>138985.16</v>
      </c>
    </row>
  </sheetData>
  <mergeCells count="7">
    <mergeCell ref="H3:I3"/>
    <mergeCell ref="B40:E40"/>
    <mergeCell ref="B2:C2"/>
    <mergeCell ref="B3:B4"/>
    <mergeCell ref="C3:C4"/>
    <mergeCell ref="D3:E3"/>
    <mergeCell ref="F3:G3"/>
  </mergeCells>
  <phoneticPr fontId="0" type="noConversion"/>
  <hyperlinks>
    <hyperlink ref="J1" location="'2'!A1" display="Оглавление"/>
  </hyperlinks>
  <printOptions horizontalCentered="1"/>
  <pageMargins left="0.62992125984251968" right="0.62992125984251968" top="0.51181102362204722" bottom="0.31496062992125984" header="0.39370078740157483" footer="0.23622047244094491"/>
  <pageSetup paperSize="9" scale="59" orientation="portrait" r:id="rId1"/>
  <headerFooter alignWithMargins="0">
    <oddHeader>&amp;A</oddHeader>
  </headerFooter>
  <ignoredErrors>
    <ignoredError sqref="F71:G72" calculatedColumn="1"/>
  </ignoredErrors>
  <drawing r:id="rId2"/>
  <tableParts count="11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J83"/>
  <sheetViews>
    <sheetView showGridLines="0" showRowColHeaders="0" tabSelected="1" view="pageBreakPreview" zoomScale="60" zoomScaleNormal="60" workbookViewId="0"/>
  </sheetViews>
  <sheetFormatPr defaultColWidth="8.85546875" defaultRowHeight="12.75" x14ac:dyDescent="0.2"/>
  <cols>
    <col min="1" max="1" width="5.7109375" style="19" customWidth="1"/>
    <col min="2" max="2" width="20" style="19" customWidth="1"/>
    <col min="3" max="8" width="17.7109375" style="19" customWidth="1"/>
    <col min="9" max="9" width="15.5703125" style="19" customWidth="1"/>
    <col min="10" max="16384" width="8.85546875" style="19"/>
  </cols>
  <sheetData>
    <row r="1" spans="1:10" s="365" customFormat="1" ht="13.15" customHeight="1" x14ac:dyDescent="0.2">
      <c r="A1" s="364"/>
      <c r="B1" s="19"/>
      <c r="C1" s="19"/>
      <c r="D1" s="19"/>
      <c r="E1" s="19"/>
      <c r="H1" s="644">
        <v>43374</v>
      </c>
      <c r="J1" s="249" t="s">
        <v>162</v>
      </c>
    </row>
    <row r="2" spans="1:10" ht="54" customHeight="1" x14ac:dyDescent="0.2">
      <c r="B2" s="836" t="s">
        <v>476</v>
      </c>
      <c r="C2" s="357" t="s">
        <v>231</v>
      </c>
      <c r="D2" s="358"/>
      <c r="E2" s="358"/>
      <c r="F2" s="358"/>
      <c r="G2" s="358"/>
      <c r="H2" s="359"/>
    </row>
    <row r="3" spans="1:10" ht="14.25" x14ac:dyDescent="0.2">
      <c r="B3" s="837"/>
      <c r="C3" s="352" t="s">
        <v>77</v>
      </c>
      <c r="D3" s="353"/>
      <c r="E3" s="353"/>
      <c r="F3" s="353"/>
      <c r="G3" s="353"/>
      <c r="H3" s="354"/>
    </row>
    <row r="4" spans="1:10" ht="13.9" customHeight="1" x14ac:dyDescent="0.2">
      <c r="B4" s="838"/>
      <c r="C4" s="355" t="s">
        <v>332</v>
      </c>
      <c r="D4" s="366"/>
      <c r="E4" s="356" t="s">
        <v>279</v>
      </c>
      <c r="F4" s="366"/>
      <c r="G4" s="356" t="s">
        <v>280</v>
      </c>
      <c r="H4" s="366"/>
    </row>
    <row r="5" spans="1:10" s="297" customFormat="1" ht="28.5" x14ac:dyDescent="0.2">
      <c r="A5" s="19"/>
      <c r="B5" s="385" t="s">
        <v>287</v>
      </c>
      <c r="C5" s="347" t="s">
        <v>283</v>
      </c>
      <c r="D5" s="348" t="s">
        <v>284</v>
      </c>
      <c r="E5" s="347" t="s">
        <v>333</v>
      </c>
      <c r="F5" s="348" t="s">
        <v>334</v>
      </c>
      <c r="G5" s="347" t="s">
        <v>336</v>
      </c>
      <c r="H5" s="349" t="s">
        <v>337</v>
      </c>
    </row>
    <row r="6" spans="1:10" ht="14.25" x14ac:dyDescent="0.2">
      <c r="A6" s="108"/>
      <c r="B6" s="346" t="s">
        <v>91</v>
      </c>
      <c r="C6" s="706">
        <f>ROUND(135984.07*1.05,2)</f>
        <v>142783.26999999999</v>
      </c>
      <c r="D6" s="706">
        <f>ROUND(149453.97*1.05,2)</f>
        <v>156926.67000000001</v>
      </c>
      <c r="E6" s="707">
        <f>ROUND(182634.61*1.05,2)</f>
        <v>191766.34</v>
      </c>
      <c r="F6" s="707">
        <f>ROUND(195181.9*1.05,2)</f>
        <v>204941</v>
      </c>
      <c r="G6" s="706">
        <f>ROUND(191766.34*1.02,2)</f>
        <v>195601.67</v>
      </c>
      <c r="H6" s="768">
        <f>ROUND(204941*1.02,2)</f>
        <v>209039.82</v>
      </c>
    </row>
    <row r="7" spans="1:10" ht="14.25" x14ac:dyDescent="0.2">
      <c r="B7" s="346" t="s">
        <v>92</v>
      </c>
      <c r="C7" s="706">
        <f>ROUND(115349.4*1.05,2)</f>
        <v>121116.87</v>
      </c>
      <c r="D7" s="706">
        <f>ROUND(128447.56*1.05,2)</f>
        <v>134869.94</v>
      </c>
      <c r="E7" s="706">
        <f>ROUND(151173.31*1.05,2)</f>
        <v>158731.98000000001</v>
      </c>
      <c r="F7" s="706">
        <f>ROUND(164276.11*1.05,2)</f>
        <v>172489.92</v>
      </c>
      <c r="G7" s="706">
        <f>ROUND(163493.97*1.02,2)</f>
        <v>166763.85</v>
      </c>
      <c r="H7" s="708">
        <f>ROUND(181114.42*1.02,2)</f>
        <v>184736.71</v>
      </c>
    </row>
    <row r="8" spans="1:10" ht="14.25" x14ac:dyDescent="0.2">
      <c r="B8" s="346" t="s">
        <v>94</v>
      </c>
      <c r="C8" s="706">
        <f>ROUND(107382.67*1.05,2)</f>
        <v>112751.8</v>
      </c>
      <c r="D8" s="706">
        <f>ROUND(121513.52*1.05,2)</f>
        <v>127589.2</v>
      </c>
      <c r="E8" s="706">
        <f>ROUND(139308.97*1.05,2)</f>
        <v>146274.42000000001</v>
      </c>
      <c r="F8" s="706">
        <f>ROUND(152411.79*1.05,2)</f>
        <v>160032.38</v>
      </c>
      <c r="G8" s="706">
        <f>ROUND(153588.14*1.02,2)</f>
        <v>156659.9</v>
      </c>
      <c r="H8" s="708">
        <f>ROUND(168034.01*1.02,2)</f>
        <v>171394.69</v>
      </c>
    </row>
    <row r="9" spans="1:10" ht="14.25" x14ac:dyDescent="0.2">
      <c r="B9" s="346" t="s">
        <v>95</v>
      </c>
      <c r="C9" s="706">
        <f>ROUND(103019.81*1.05,2)</f>
        <v>108170.8</v>
      </c>
      <c r="D9" s="706">
        <f>ROUND(117233.79*1.05,2)</f>
        <v>123095.48</v>
      </c>
      <c r="E9" s="706">
        <f>ROUND(133646.69*1.05,2)</f>
        <v>140329.01999999999</v>
      </c>
      <c r="F9" s="706">
        <f>ROUND(146749.5*1.05,2)</f>
        <v>154086.98000000001</v>
      </c>
      <c r="G9" s="706">
        <f>ROUND(144538.92*1.02,2)</f>
        <v>147429.70000000001</v>
      </c>
      <c r="H9" s="708">
        <f>ROUND(158709.6*1.02,2)</f>
        <v>161883.79</v>
      </c>
    </row>
    <row r="10" spans="1:10" ht="14.25" x14ac:dyDescent="0.2">
      <c r="B10" s="346" t="s">
        <v>97</v>
      </c>
      <c r="C10" s="706">
        <f>ROUND(109179.9*1.05,2)</f>
        <v>114638.9</v>
      </c>
      <c r="D10" s="706">
        <f>ROUND(124071.42*1.05,2)</f>
        <v>130274.99</v>
      </c>
      <c r="E10" s="706">
        <f>ROUND(132768.81*1.05,2)</f>
        <v>139407.25</v>
      </c>
      <c r="F10" s="706">
        <f>ROUND(145871.61*1.05,2)</f>
        <v>153165.19</v>
      </c>
      <c r="G10" s="706">
        <f>ROUND(146377.59*1.02,2)</f>
        <v>149305.14000000001</v>
      </c>
      <c r="H10" s="708">
        <f>ROUND(157760.17*1.02,2)</f>
        <v>160915.37</v>
      </c>
    </row>
    <row r="11" spans="1:10" ht="14.25" x14ac:dyDescent="0.2">
      <c r="B11" s="346" t="s">
        <v>98</v>
      </c>
      <c r="C11" s="706">
        <f>ROUND(101687.89*1.05,2)</f>
        <v>106772.28</v>
      </c>
      <c r="D11" s="706">
        <f>ROUND(112165.74*1.05,2)</f>
        <v>117774.03</v>
      </c>
      <c r="E11" s="706">
        <f>ROUND(131921*1.05,2)</f>
        <v>138517.04999999999</v>
      </c>
      <c r="F11" s="706">
        <f>ROUND(144055.86*1.05,2)</f>
        <v>151258.65</v>
      </c>
      <c r="G11" s="706">
        <f>ROUND(142672.55*1.02,2)</f>
        <v>145526</v>
      </c>
      <c r="H11" s="708">
        <f>ROUND(151258.65*1.02,2)</f>
        <v>154283.82</v>
      </c>
    </row>
    <row r="12" spans="1:10" ht="14.25" x14ac:dyDescent="0.2">
      <c r="B12" s="245" t="s">
        <v>99</v>
      </c>
      <c r="C12" s="706">
        <f>ROUND(120016.82*1.02,2)</f>
        <v>122417.16</v>
      </c>
      <c r="D12" s="706">
        <f>ROUND(132474.91*1.02,2)</f>
        <v>135124.41</v>
      </c>
      <c r="E12" s="706">
        <f>ROUND(131317.7*1.05,2)</f>
        <v>137883.59</v>
      </c>
      <c r="F12" s="706">
        <f>ROUND(143392.08*1.05,2)</f>
        <v>150561.68</v>
      </c>
      <c r="G12" s="706">
        <f>ROUND(137883.59*1.02,2)</f>
        <v>140641.26</v>
      </c>
      <c r="H12" s="708">
        <f>ROUND(150561.68*1.02,2)</f>
        <v>153572.91</v>
      </c>
    </row>
    <row r="13" spans="1:10" ht="14.25" x14ac:dyDescent="0.2">
      <c r="B13" s="245" t="s">
        <v>100</v>
      </c>
      <c r="C13" s="706">
        <f>ROUND(107028.42*1.02,2)</f>
        <v>109168.99</v>
      </c>
      <c r="D13" s="706">
        <f>ROUND(119575.12*1.02,2)</f>
        <v>121966.62</v>
      </c>
      <c r="E13" s="706">
        <f>ROUND(125097.31*1.05,2)</f>
        <v>131352.18</v>
      </c>
      <c r="F13" s="706">
        <f>ROUND(134505.59*1.05,2)</f>
        <v>141230.87</v>
      </c>
      <c r="G13" s="706">
        <f>ROUND(131352.18*1.02,2)</f>
        <v>133979.22</v>
      </c>
      <c r="H13" s="708">
        <f>ROUND(141230.87*1.02,2)</f>
        <v>144055.49</v>
      </c>
    </row>
    <row r="14" spans="1:10" ht="14.25" x14ac:dyDescent="0.2">
      <c r="B14" s="245" t="s">
        <v>101</v>
      </c>
      <c r="C14" s="706">
        <f>ROUND(111432.33*1.02,2)</f>
        <v>113660.98</v>
      </c>
      <c r="D14" s="706">
        <f>ROUND(123685.52*1.02,2)</f>
        <v>126159.23</v>
      </c>
      <c r="E14" s="706">
        <f>ROUND(121453.69*1.05,2)</f>
        <v>127526.37</v>
      </c>
      <c r="F14" s="706">
        <f>ROUND(134505.59*1.05,2)</f>
        <v>141230.87</v>
      </c>
      <c r="G14" s="706">
        <f>ROUND(127526.37*1.02,2)</f>
        <v>130076.9</v>
      </c>
      <c r="H14" s="708">
        <f>ROUND(141230.87*1.02,2)</f>
        <v>144055.49</v>
      </c>
    </row>
    <row r="15" spans="1:10" ht="14.25" x14ac:dyDescent="0.2">
      <c r="B15" s="245" t="s">
        <v>102</v>
      </c>
      <c r="C15" s="706">
        <f>ROUND(105692.51*1.02,2)</f>
        <v>107806.36</v>
      </c>
      <c r="D15" s="706">
        <f>ROUND(118120.03*1.02,2)</f>
        <v>120482.43</v>
      </c>
      <c r="E15" s="706">
        <f>ROUND(116838.89*1.05,2)</f>
        <v>122680.83</v>
      </c>
      <c r="F15" s="706">
        <f>ROUND(129890.82*1.05,2)</f>
        <v>136385.35999999999</v>
      </c>
      <c r="G15" s="706">
        <f>ROUND(122680.83*1.02,2)</f>
        <v>125134.45</v>
      </c>
      <c r="H15" s="708">
        <f>ROUND(136385.36*1.02,2)</f>
        <v>139113.07</v>
      </c>
    </row>
    <row r="16" spans="1:10" ht="14.25" x14ac:dyDescent="0.2">
      <c r="B16" s="350" t="s">
        <v>265</v>
      </c>
      <c r="C16" s="351">
        <f>ROUND(104463.04*1.02,2)</f>
        <v>106552.3</v>
      </c>
      <c r="D16" s="351">
        <f>ROUND(116607.28*1.02,2)</f>
        <v>118939.43</v>
      </c>
      <c r="E16" s="351">
        <f>ROUND(122988.3*1.05,2)</f>
        <v>129137.72</v>
      </c>
      <c r="F16" s="351">
        <f>ROUND(136727.14*1.05,2)</f>
        <v>143563.5</v>
      </c>
      <c r="G16" s="351">
        <f>ROUND(129137.72*1.02,2)</f>
        <v>131720.47</v>
      </c>
      <c r="H16" s="709">
        <f>ROUND(143563.5*1.02,2)</f>
        <v>146434.76999999999</v>
      </c>
    </row>
    <row r="17" spans="2:8" ht="14.25" customHeight="1" x14ac:dyDescent="0.2">
      <c r="B17" s="362" t="s">
        <v>287</v>
      </c>
      <c r="C17" s="363" t="s">
        <v>283</v>
      </c>
      <c r="D17" s="363" t="s">
        <v>284</v>
      </c>
      <c r="G17" s="39"/>
    </row>
    <row r="18" spans="2:8" ht="14.25" x14ac:dyDescent="0.2">
      <c r="B18" s="346" t="s">
        <v>97</v>
      </c>
      <c r="C18" s="706">
        <f>E10*1.05</f>
        <v>146377.61250000002</v>
      </c>
      <c r="D18" s="708">
        <f>F10*1.05</f>
        <v>160823.44950000002</v>
      </c>
      <c r="G18" s="39"/>
    </row>
    <row r="19" spans="2:8" ht="14.25" x14ac:dyDescent="0.2">
      <c r="B19" s="346" t="s">
        <v>98</v>
      </c>
      <c r="C19" s="706">
        <f>E11*1.05</f>
        <v>145442.9025</v>
      </c>
      <c r="D19" s="708">
        <f t="shared" ref="D19" si="0">F11*1.05</f>
        <v>158821.58249999999</v>
      </c>
      <c r="G19" s="39"/>
    </row>
    <row r="20" spans="2:8" ht="14.25" x14ac:dyDescent="0.2">
      <c r="B20" s="245" t="s">
        <v>99</v>
      </c>
      <c r="C20" s="706">
        <f t="shared" ref="C20" si="1">E12*1.05</f>
        <v>144777.76949999999</v>
      </c>
      <c r="D20" s="708">
        <f>F12*1.05</f>
        <v>158089.764</v>
      </c>
      <c r="G20" s="39"/>
    </row>
    <row r="21" spans="2:8" ht="14.25" x14ac:dyDescent="0.2">
      <c r="B21" s="245" t="s">
        <v>100</v>
      </c>
      <c r="C21" s="706">
        <f>E13*1.05</f>
        <v>137919.78899999999</v>
      </c>
      <c r="D21" s="708">
        <f t="shared" ref="D21" si="2">F13*1.05</f>
        <v>148292.4135</v>
      </c>
      <c r="G21" s="39"/>
    </row>
    <row r="22" spans="2:8" ht="14.25" x14ac:dyDescent="0.2">
      <c r="B22" s="245" t="s">
        <v>101</v>
      </c>
      <c r="C22" s="706">
        <f>E14*1.05</f>
        <v>133902.68849999999</v>
      </c>
      <c r="D22" s="708">
        <f t="shared" ref="D22" si="3">F14*1.05</f>
        <v>148292.4135</v>
      </c>
      <c r="G22" s="39"/>
    </row>
    <row r="23" spans="2:8" ht="14.25" x14ac:dyDescent="0.2">
      <c r="B23" s="245" t="s">
        <v>102</v>
      </c>
      <c r="C23" s="706">
        <f>E15*1.05</f>
        <v>128814.87150000001</v>
      </c>
      <c r="D23" s="708">
        <f t="shared" ref="D23" si="4">F15*1.05</f>
        <v>143204.628</v>
      </c>
      <c r="G23" s="39"/>
    </row>
    <row r="24" spans="2:8" ht="14.25" x14ac:dyDescent="0.2">
      <c r="B24" s="350" t="s">
        <v>265</v>
      </c>
      <c r="C24" s="351">
        <f t="shared" ref="C24" si="5">E16*1.05</f>
        <v>135594.606</v>
      </c>
      <c r="D24" s="709">
        <f t="shared" ref="D24" si="6">F16*1.05</f>
        <v>150741.67500000002</v>
      </c>
      <c r="G24" s="39"/>
    </row>
    <row r="25" spans="2:8" ht="14.25" x14ac:dyDescent="0.2">
      <c r="B25" s="137"/>
      <c r="C25" s="75"/>
      <c r="D25" s="75"/>
      <c r="E25" s="75"/>
      <c r="F25" s="75"/>
      <c r="G25" s="39"/>
    </row>
    <row r="26" spans="2:8" ht="14.25" customHeight="1" x14ac:dyDescent="0.2">
      <c r="B26" s="839" t="s">
        <v>463</v>
      </c>
      <c r="C26" s="677" t="s">
        <v>462</v>
      </c>
      <c r="D26" s="678"/>
      <c r="E26" s="678"/>
      <c r="F26" s="678"/>
      <c r="G26" s="682"/>
      <c r="H26" s="683"/>
    </row>
    <row r="27" spans="2:8" ht="14.25" customHeight="1" x14ac:dyDescent="0.2">
      <c r="B27" s="840"/>
      <c r="C27" s="679" t="s">
        <v>464</v>
      </c>
      <c r="D27" s="680"/>
      <c r="E27" s="679" t="s">
        <v>465</v>
      </c>
      <c r="F27" s="680"/>
      <c r="G27" s="679" t="s">
        <v>466</v>
      </c>
      <c r="H27" s="680"/>
    </row>
    <row r="28" spans="2:8" ht="28.5" x14ac:dyDescent="0.2">
      <c r="B28" s="385" t="s">
        <v>287</v>
      </c>
      <c r="C28" s="347" t="s">
        <v>283</v>
      </c>
      <c r="D28" s="348" t="s">
        <v>284</v>
      </c>
      <c r="E28" s="347" t="s">
        <v>333</v>
      </c>
      <c r="F28" s="348" t="s">
        <v>334</v>
      </c>
      <c r="G28" s="347" t="s">
        <v>336</v>
      </c>
      <c r="H28" s="348" t="s">
        <v>337</v>
      </c>
    </row>
    <row r="29" spans="2:8" ht="14.25" x14ac:dyDescent="0.2">
      <c r="B29" s="346" t="s">
        <v>91</v>
      </c>
      <c r="C29" s="706">
        <f>ROUND(143933.1*1.05,2)</f>
        <v>151129.76</v>
      </c>
      <c r="D29" s="706">
        <f>ROUND(157402.99*1.05,2)</f>
        <v>165273.14000000001</v>
      </c>
      <c r="E29" s="706">
        <f>ROUND(141191.51*1.05,2)</f>
        <v>148251.09</v>
      </c>
      <c r="F29" s="706">
        <f>ROUND(154404.84*1.05,2)</f>
        <v>162125.07999999999</v>
      </c>
      <c r="G29" s="769">
        <f>ROUND(199953.84*1.02,2)</f>
        <v>203952.92</v>
      </c>
      <c r="H29" s="769">
        <f>ROUND(213128.49*1.02,2)</f>
        <v>217391.06</v>
      </c>
    </row>
    <row r="30" spans="2:8" ht="14.25" x14ac:dyDescent="0.2">
      <c r="B30" s="681" t="s">
        <v>92</v>
      </c>
      <c r="C30" s="706">
        <f>ROUND(123298.42*1.05,2)</f>
        <v>129463.34</v>
      </c>
      <c r="D30" s="706">
        <f>ROUND(136396.59*1.05,2)</f>
        <v>143216.42000000001</v>
      </c>
      <c r="E30" s="706">
        <f>ROUND(120949.88*1.05,2)</f>
        <v>126997.37</v>
      </c>
      <c r="F30" s="706">
        <f>ROUND(133798.56*1.05,2)</f>
        <v>140488.49</v>
      </c>
      <c r="G30" s="706">
        <f>ROUND(171681.47*1.02,2)</f>
        <v>175115.1</v>
      </c>
      <c r="H30" s="706">
        <f>ROUND(189301.91*1.02,2)</f>
        <v>193087.95</v>
      </c>
    </row>
    <row r="31" spans="2:8" ht="14.25" x14ac:dyDescent="0.2">
      <c r="B31" s="681" t="s">
        <v>98</v>
      </c>
      <c r="C31" s="706">
        <f>ROUND(107569.6*1.02,2)</f>
        <v>109720.99</v>
      </c>
      <c r="D31" s="706">
        <f>ROUND(117841.99*1.02,2)</f>
        <v>120198.83</v>
      </c>
      <c r="E31" s="706">
        <f>ROUND(139718.61*1.05,2)</f>
        <v>146704.54</v>
      </c>
      <c r="F31" s="706">
        <f>ROUND(151853.48*1.05,2)</f>
        <v>159446.15</v>
      </c>
      <c r="G31" s="351">
        <f>ROUND(150860.04*1.02,2)</f>
        <v>153877.24</v>
      </c>
      <c r="H31" s="351">
        <f>ROUND(159446.15*1.02,2)</f>
        <v>162635.07</v>
      </c>
    </row>
    <row r="32" spans="2:8" ht="14.25" x14ac:dyDescent="0.2">
      <c r="B32" s="137"/>
      <c r="C32" s="75"/>
      <c r="D32" s="75"/>
      <c r="E32" s="75"/>
      <c r="F32" s="75"/>
      <c r="G32" s="39"/>
    </row>
    <row r="33" spans="2:7" ht="15.6" customHeight="1" x14ac:dyDescent="0.2">
      <c r="B33" s="137"/>
      <c r="F33" s="644">
        <v>43191</v>
      </c>
      <c r="G33" s="39"/>
    </row>
    <row r="34" spans="2:7" ht="36" customHeight="1" x14ac:dyDescent="0.2">
      <c r="B34" s="367"/>
      <c r="C34" s="368"/>
      <c r="D34" s="369"/>
      <c r="E34" s="369"/>
      <c r="F34" s="370"/>
      <c r="G34" s="39"/>
    </row>
    <row r="35" spans="2:7" ht="36" customHeight="1" x14ac:dyDescent="0.2">
      <c r="B35" s="371" t="s">
        <v>287</v>
      </c>
      <c r="C35" s="372" t="s">
        <v>288</v>
      </c>
      <c r="D35" s="373" t="s">
        <v>284</v>
      </c>
      <c r="E35" s="373" t="s">
        <v>285</v>
      </c>
      <c r="F35" s="373" t="s">
        <v>286</v>
      </c>
      <c r="G35" s="39"/>
    </row>
    <row r="36" spans="2:7" ht="14.25" x14ac:dyDescent="0.2">
      <c r="B36" s="245" t="s">
        <v>98</v>
      </c>
      <c r="C36" s="374" t="s">
        <v>474</v>
      </c>
      <c r="D36" s="118"/>
      <c r="E36" s="710">
        <f>ROUND(165940.52*1.05,2)</f>
        <v>174237.55</v>
      </c>
      <c r="F36" s="711">
        <f>ROUND(221755.67*1.05,2)</f>
        <v>232843.45</v>
      </c>
      <c r="G36" s="375"/>
    </row>
    <row r="37" spans="2:7" ht="14.25" x14ac:dyDescent="0.2">
      <c r="B37" s="245" t="s">
        <v>99</v>
      </c>
      <c r="C37" s="374" t="s">
        <v>475</v>
      </c>
      <c r="D37" s="118"/>
      <c r="E37" s="710">
        <f>ROUND(157841.55*1.08,2)</f>
        <v>170468.87</v>
      </c>
      <c r="F37" s="711">
        <f>ROUND(210939.21*1.08,2)</f>
        <v>227814.35</v>
      </c>
      <c r="G37" s="375"/>
    </row>
    <row r="38" spans="2:7" ht="14.25" x14ac:dyDescent="0.2">
      <c r="B38" s="240" t="s">
        <v>301</v>
      </c>
      <c r="C38" s="374" t="s">
        <v>243</v>
      </c>
      <c r="D38" s="118"/>
      <c r="E38" s="710">
        <f>ROUND(152605.32*1.08,2)</f>
        <v>164813.75</v>
      </c>
      <c r="F38" s="711">
        <f>ROUND(200123.12*1.08,2)</f>
        <v>216132.97</v>
      </c>
      <c r="G38" s="375"/>
    </row>
    <row r="39" spans="2:7" ht="14.25" x14ac:dyDescent="0.2">
      <c r="B39" s="201" t="s">
        <v>302</v>
      </c>
      <c r="C39" s="376" t="s">
        <v>244</v>
      </c>
      <c r="D39" s="118"/>
      <c r="E39" s="710">
        <f>ROUND(144318.36*1.08,2)</f>
        <v>155863.82999999999</v>
      </c>
      <c r="F39" s="711">
        <f>ROUND(191836.17*1.08,2)</f>
        <v>207183.06</v>
      </c>
      <c r="G39" s="375"/>
    </row>
    <row r="40" spans="2:7" ht="14.25" x14ac:dyDescent="0.2">
      <c r="B40" s="241" t="s">
        <v>303</v>
      </c>
      <c r="C40" s="374" t="s">
        <v>245</v>
      </c>
      <c r="D40" s="118"/>
      <c r="E40" s="710">
        <f>ROUND(150158.17*1.05,2)</f>
        <v>157666.07999999999</v>
      </c>
      <c r="F40" s="711">
        <f>ROUND(197675.96*1.05,2)</f>
        <v>207559.76</v>
      </c>
      <c r="G40" s="375"/>
    </row>
    <row r="41" spans="2:7" ht="14.25" x14ac:dyDescent="0.2">
      <c r="B41" s="201" t="s">
        <v>304</v>
      </c>
      <c r="C41" s="376" t="s">
        <v>244</v>
      </c>
      <c r="D41" s="118"/>
      <c r="E41" s="710">
        <f>ROUND(143528.6*1.08,2)</f>
        <v>155010.89000000001</v>
      </c>
      <c r="F41" s="711">
        <f>ROUND(191046.39*1.08,2)</f>
        <v>206330.1</v>
      </c>
      <c r="G41" s="375"/>
    </row>
    <row r="42" spans="2:7" ht="14.25" x14ac:dyDescent="0.2">
      <c r="B42" s="242" t="s">
        <v>305</v>
      </c>
      <c r="C42" s="374" t="s">
        <v>246</v>
      </c>
      <c r="D42" s="118"/>
      <c r="E42" s="710">
        <f>ROUND(146634.23*1.08,2)</f>
        <v>158364.97</v>
      </c>
      <c r="F42" s="711">
        <f>ROUND(194152.05*1.08,2)</f>
        <v>209684.21</v>
      </c>
      <c r="G42" s="375"/>
    </row>
    <row r="43" spans="2:7" ht="14.25" x14ac:dyDescent="0.2">
      <c r="B43" s="201" t="s">
        <v>306</v>
      </c>
      <c r="C43" s="376" t="s">
        <v>258</v>
      </c>
      <c r="D43" s="118"/>
      <c r="E43" s="710">
        <f>ROUND(140004.67*1.08,2)</f>
        <v>151205.04</v>
      </c>
      <c r="F43" s="711">
        <f>ROUND(187522.47*1.08,2)</f>
        <v>202524.27</v>
      </c>
      <c r="G43" s="375"/>
    </row>
    <row r="44" spans="2:7" ht="14.25" x14ac:dyDescent="0.2">
      <c r="B44" s="246" t="s">
        <v>309</v>
      </c>
      <c r="C44" s="374" t="s">
        <v>247</v>
      </c>
      <c r="D44" s="118"/>
      <c r="E44" s="710">
        <f>ROUND(146634.23*1.08,2)</f>
        <v>158364.97</v>
      </c>
      <c r="F44" s="711">
        <f>ROUND(194152.05*1.08,2)</f>
        <v>209684.21</v>
      </c>
      <c r="G44" s="375"/>
    </row>
    <row r="45" spans="2:7" ht="14.25" x14ac:dyDescent="0.2">
      <c r="B45" s="345" t="s">
        <v>310</v>
      </c>
      <c r="C45" s="377" t="s">
        <v>258</v>
      </c>
      <c r="D45" s="378"/>
      <c r="E45" s="712">
        <f>ROUND(143319.45*1.08,2)</f>
        <v>154785.01</v>
      </c>
      <c r="F45" s="713">
        <f>ROUND(190837.28*1.08,2)</f>
        <v>206104.26</v>
      </c>
      <c r="G45" s="375"/>
    </row>
    <row r="46" spans="2:7" ht="14.25" x14ac:dyDescent="0.2">
      <c r="B46" s="137"/>
      <c r="C46" s="64"/>
      <c r="D46" s="64"/>
      <c r="E46" s="83"/>
      <c r="F46" s="83"/>
      <c r="G46" s="39"/>
    </row>
    <row r="47" spans="2:7" ht="60" customHeight="1" x14ac:dyDescent="0.2">
      <c r="B47" s="684" t="s">
        <v>287</v>
      </c>
      <c r="C47" s="380" t="s">
        <v>283</v>
      </c>
      <c r="D47" s="381" t="s">
        <v>284</v>
      </c>
      <c r="E47" s="381" t="s">
        <v>285</v>
      </c>
      <c r="F47" s="381" t="s">
        <v>286</v>
      </c>
      <c r="G47" s="39"/>
    </row>
    <row r="48" spans="2:7" ht="14.25" x14ac:dyDescent="0.2">
      <c r="B48" s="245" t="s">
        <v>100</v>
      </c>
      <c r="C48" s="118"/>
      <c r="D48" s="118"/>
      <c r="E48" s="714">
        <f>ROUND(166289.88*1.05,2)</f>
        <v>174604.37</v>
      </c>
      <c r="F48" s="715">
        <f>ROUND(213807.68*1.05,2)</f>
        <v>224498.06</v>
      </c>
      <c r="G48" s="39"/>
    </row>
    <row r="49" spans="2:9" ht="14.25" x14ac:dyDescent="0.2">
      <c r="B49" s="245" t="s">
        <v>101</v>
      </c>
      <c r="C49" s="118"/>
      <c r="D49" s="118"/>
      <c r="E49" s="714">
        <f>ROUND(166211.56*1.05,2)</f>
        <v>174522.14</v>
      </c>
      <c r="F49" s="715">
        <f>ROUND(213729.37*1.05,2)</f>
        <v>224415.84</v>
      </c>
      <c r="G49" s="39"/>
    </row>
    <row r="50" spans="2:9" ht="14.25" x14ac:dyDescent="0.2">
      <c r="B50" s="245" t="s">
        <v>102</v>
      </c>
      <c r="C50" s="118"/>
      <c r="D50" s="118"/>
      <c r="E50" s="714">
        <f>ROUND(153486.31*1.05,2)</f>
        <v>161160.63</v>
      </c>
      <c r="F50" s="715">
        <f>ROUND(201004.1*1.05,2)</f>
        <v>211054.31</v>
      </c>
      <c r="G50" s="39"/>
    </row>
    <row r="51" spans="2:9" ht="14.25" x14ac:dyDescent="0.2">
      <c r="B51" s="350" t="s">
        <v>104</v>
      </c>
      <c r="C51" s="378"/>
      <c r="D51" s="378"/>
      <c r="E51" s="716">
        <f>ROUND(153486.31*1.05,2)</f>
        <v>161160.63</v>
      </c>
      <c r="F51" s="717">
        <f>ROUND(201004.1*1.05,2)</f>
        <v>211054.31</v>
      </c>
      <c r="G51" s="39"/>
    </row>
    <row r="52" spans="2:9" ht="14.25" x14ac:dyDescent="0.2">
      <c r="B52" s="137"/>
      <c r="C52" s="64"/>
      <c r="D52" s="64"/>
      <c r="E52" s="83"/>
      <c r="F52" s="83"/>
      <c r="G52" s="39"/>
    </row>
    <row r="53" spans="2:9" ht="27.95" customHeight="1" x14ac:dyDescent="0.25">
      <c r="B53" s="400" t="s">
        <v>222</v>
      </c>
      <c r="C53" s="368"/>
      <c r="D53" s="369"/>
      <c r="E53" s="369"/>
      <c r="F53" s="370"/>
      <c r="G53" s="39"/>
    </row>
    <row r="54" spans="2:9" ht="27.95" customHeight="1" x14ac:dyDescent="0.2">
      <c r="B54" s="379" t="s">
        <v>287</v>
      </c>
      <c r="C54" s="372" t="s">
        <v>288</v>
      </c>
      <c r="D54" s="373" t="s">
        <v>284</v>
      </c>
      <c r="E54" s="373" t="s">
        <v>285</v>
      </c>
      <c r="F54" s="373" t="s">
        <v>286</v>
      </c>
      <c r="G54" s="37"/>
    </row>
    <row r="55" spans="2:9" ht="14.25" x14ac:dyDescent="0.2">
      <c r="B55" s="243" t="s">
        <v>307</v>
      </c>
      <c r="C55" s="374" t="s">
        <v>248</v>
      </c>
      <c r="D55" s="118"/>
      <c r="E55" s="718">
        <f>ROUND(141044.21*1.08,2)</f>
        <v>152327.75</v>
      </c>
      <c r="F55" s="719">
        <f>ROUND(188562.03*1.08,2)</f>
        <v>203646.99</v>
      </c>
      <c r="G55" s="39"/>
    </row>
    <row r="56" spans="2:9" ht="14.25" x14ac:dyDescent="0.2">
      <c r="B56" s="244" t="s">
        <v>308</v>
      </c>
      <c r="C56" s="377" t="s">
        <v>244</v>
      </c>
      <c r="D56" s="378"/>
      <c r="E56" s="720">
        <f>ROUND(137729.45*1.08,2)</f>
        <v>148747.81</v>
      </c>
      <c r="F56" s="721">
        <f>ROUND(185247.25*1.08,2)</f>
        <v>200067.03</v>
      </c>
      <c r="G56" s="39"/>
    </row>
    <row r="57" spans="2:9" ht="14.25" x14ac:dyDescent="0.2">
      <c r="B57" s="137"/>
      <c r="C57" s="64"/>
      <c r="D57" s="64"/>
      <c r="E57" s="83"/>
      <c r="F57" s="83"/>
      <c r="G57" s="39"/>
    </row>
    <row r="58" spans="2:9" ht="39.950000000000003" customHeight="1" x14ac:dyDescent="0.2">
      <c r="B58" s="382" t="s">
        <v>287</v>
      </c>
      <c r="C58" s="380" t="s">
        <v>283</v>
      </c>
      <c r="D58" s="381" t="s">
        <v>284</v>
      </c>
      <c r="E58" s="381" t="s">
        <v>285</v>
      </c>
      <c r="F58" s="381" t="s">
        <v>286</v>
      </c>
      <c r="G58" s="39"/>
      <c r="H58" s="13"/>
    </row>
    <row r="59" spans="2:9" ht="14.25" x14ac:dyDescent="0.2">
      <c r="B59" s="350" t="s">
        <v>190</v>
      </c>
      <c r="C59" s="378"/>
      <c r="D59" s="378"/>
      <c r="E59" s="720">
        <f>ROUND(153016.45*1.05,2)</f>
        <v>160667.26999999999</v>
      </c>
      <c r="F59" s="721">
        <f>ROUND(200534.24*1.05,2)</f>
        <v>210560.95</v>
      </c>
      <c r="G59" s="39"/>
    </row>
    <row r="60" spans="2:9" ht="14.25" x14ac:dyDescent="0.2">
      <c r="B60" s="137"/>
      <c r="C60" s="64"/>
      <c r="D60" s="64"/>
      <c r="E60" s="93"/>
      <c r="F60" s="93"/>
      <c r="G60" s="39"/>
    </row>
    <row r="61" spans="2:9" ht="27.95" customHeight="1" x14ac:dyDescent="0.2">
      <c r="B61" s="676" t="s">
        <v>287</v>
      </c>
      <c r="C61" s="383" t="s">
        <v>283</v>
      </c>
      <c r="D61" s="384" t="s">
        <v>284</v>
      </c>
      <c r="E61" s="384" t="s">
        <v>353</v>
      </c>
      <c r="F61" s="384" t="s">
        <v>354</v>
      </c>
      <c r="G61" s="39"/>
      <c r="H61" s="13"/>
    </row>
    <row r="62" spans="2:9" ht="13.9" customHeight="1" x14ac:dyDescent="0.2">
      <c r="B62" s="350" t="s">
        <v>467</v>
      </c>
      <c r="C62" s="351"/>
      <c r="D62" s="351"/>
      <c r="E62" s="351">
        <f>ROUND(197231.83*1.05,2)</f>
        <v>207093.42</v>
      </c>
      <c r="F62" s="709">
        <f>ROUND(235161.03*1.05,2)</f>
        <v>246919.08</v>
      </c>
      <c r="G62" s="39"/>
    </row>
    <row r="63" spans="2:9" ht="13.9" customHeight="1" x14ac:dyDescent="0.2">
      <c r="B63" s="92"/>
      <c r="C63" s="75"/>
      <c r="D63" s="75"/>
      <c r="E63" s="75"/>
      <c r="F63" s="75"/>
      <c r="G63" s="39"/>
    </row>
    <row r="64" spans="2:9" ht="14.25" x14ac:dyDescent="0.2">
      <c r="B64" s="137"/>
      <c r="C64" s="75"/>
      <c r="D64" s="644">
        <v>43332</v>
      </c>
      <c r="E64" s="75"/>
      <c r="F64" s="13"/>
      <c r="G64" s="13"/>
      <c r="H64" s="13"/>
      <c r="I64" s="13"/>
    </row>
    <row r="65" spans="2:9" ht="15.75" customHeight="1" x14ac:dyDescent="0.2">
      <c r="B65" s="834" t="s">
        <v>12</v>
      </c>
      <c r="C65" s="360" t="s">
        <v>127</v>
      </c>
      <c r="D65" s="361"/>
      <c r="F65" s="13"/>
      <c r="G65" s="13"/>
      <c r="H65" s="13"/>
      <c r="I65" s="13"/>
    </row>
    <row r="66" spans="2:9" ht="14.25" x14ac:dyDescent="0.2">
      <c r="B66" s="835"/>
      <c r="C66" s="352" t="s">
        <v>77</v>
      </c>
      <c r="D66" s="354"/>
      <c r="F66" s="13"/>
      <c r="G66" s="13"/>
      <c r="H66" s="13"/>
      <c r="I66" s="13"/>
    </row>
    <row r="67" spans="2:9" ht="28.5" x14ac:dyDescent="0.2">
      <c r="B67" s="397" t="s">
        <v>287</v>
      </c>
      <c r="C67" s="347" t="s">
        <v>353</v>
      </c>
      <c r="D67" s="349" t="s">
        <v>354</v>
      </c>
      <c r="F67" s="13"/>
      <c r="G67" s="13"/>
      <c r="H67" s="13"/>
      <c r="I67" s="13"/>
    </row>
    <row r="68" spans="2:9" ht="14.25" x14ac:dyDescent="0.2">
      <c r="B68" s="386" t="s">
        <v>338</v>
      </c>
      <c r="C68" s="760">
        <f>ROUND(188682.29*1.02,2)</f>
        <v>192455.94</v>
      </c>
      <c r="D68" s="761">
        <f>ROUND(205945.1*1.02,2)</f>
        <v>210064</v>
      </c>
      <c r="F68" s="13"/>
      <c r="G68" s="13"/>
      <c r="H68" s="13"/>
      <c r="I68" s="13"/>
    </row>
    <row r="69" spans="2:9" ht="14.25" x14ac:dyDescent="0.2">
      <c r="B69" s="386" t="s">
        <v>339</v>
      </c>
      <c r="C69" s="760">
        <f>ROUND(132706.48*1.02,2)</f>
        <v>135360.60999999999</v>
      </c>
      <c r="D69" s="761">
        <f>ROUND(149969.28*1.02,2)</f>
        <v>152968.67000000001</v>
      </c>
      <c r="F69" s="13"/>
      <c r="G69" s="13"/>
      <c r="H69" s="13"/>
      <c r="I69" s="13"/>
    </row>
    <row r="70" spans="2:9" ht="14.25" x14ac:dyDescent="0.2">
      <c r="B70" s="386" t="s">
        <v>340</v>
      </c>
      <c r="C70" s="760">
        <f>ROUND(122743.36*1.02,2)</f>
        <v>125198.23</v>
      </c>
      <c r="D70" s="761">
        <f>ROUND(140006.17*1.02,2)</f>
        <v>142806.29</v>
      </c>
      <c r="G70" s="39"/>
    </row>
    <row r="71" spans="2:9" ht="14.25" x14ac:dyDescent="0.2">
      <c r="B71" s="386" t="s">
        <v>341</v>
      </c>
      <c r="C71" s="760">
        <f>ROUND(122743.36*1.02,2)</f>
        <v>125198.23</v>
      </c>
      <c r="D71" s="761">
        <f>ROUND(140006.17*1.02,2)</f>
        <v>142806.29</v>
      </c>
      <c r="G71" s="39"/>
    </row>
    <row r="72" spans="2:9" ht="14.25" x14ac:dyDescent="0.2">
      <c r="B72" s="386" t="s">
        <v>342</v>
      </c>
      <c r="C72" s="760">
        <f>ROUND(122743.36*1.02,2)</f>
        <v>125198.23</v>
      </c>
      <c r="D72" s="761">
        <f>ROUND(140006.17*1.02,2)</f>
        <v>142806.29</v>
      </c>
      <c r="G72" s="39"/>
    </row>
    <row r="73" spans="2:9" ht="14.25" x14ac:dyDescent="0.2">
      <c r="B73" s="386" t="s">
        <v>343</v>
      </c>
      <c r="C73" s="760">
        <f>ROUND(122338.91*1.02,2)</f>
        <v>124785.69</v>
      </c>
      <c r="D73" s="761">
        <f>ROUND(139601.71*1.02,2)</f>
        <v>142393.74</v>
      </c>
      <c r="G73" s="39"/>
    </row>
    <row r="74" spans="2:9" ht="14.25" x14ac:dyDescent="0.2">
      <c r="B74" s="386" t="s">
        <v>344</v>
      </c>
      <c r="C74" s="760">
        <f>ROUND(122338.91*1.02,2)</f>
        <v>124785.69</v>
      </c>
      <c r="D74" s="761">
        <f>ROUND(139601.71*1.02,2)</f>
        <v>142393.74</v>
      </c>
      <c r="G74" s="39"/>
    </row>
    <row r="75" spans="2:9" ht="14.25" x14ac:dyDescent="0.2">
      <c r="B75" s="386" t="s">
        <v>345</v>
      </c>
      <c r="C75" s="760">
        <f>ROUND(122338.91*1.02,2)</f>
        <v>124785.69</v>
      </c>
      <c r="D75" s="761">
        <f>ROUND(139601.71*1.02,2)</f>
        <v>142393.74</v>
      </c>
      <c r="G75" s="39"/>
    </row>
    <row r="76" spans="2:9" ht="14.25" x14ac:dyDescent="0.2">
      <c r="B76" s="386" t="s">
        <v>346</v>
      </c>
      <c r="C76" s="760">
        <f>ROUND(122338.91*1.02,2)</f>
        <v>124785.69</v>
      </c>
      <c r="D76" s="761">
        <f>ROUND(139601.71*1.02,2)</f>
        <v>142393.74</v>
      </c>
      <c r="G76" s="39"/>
    </row>
    <row r="77" spans="2:9" ht="14.25" x14ac:dyDescent="0.2">
      <c r="B77" s="386" t="s">
        <v>347</v>
      </c>
      <c r="C77" s="760">
        <f t="shared" ref="C77:C82" si="7">ROUND(121303.17*1.02,2)</f>
        <v>123729.23</v>
      </c>
      <c r="D77" s="761">
        <f t="shared" ref="D77:D82" si="8">ROUND(138565.97*1.02,2)</f>
        <v>141337.29</v>
      </c>
      <c r="G77" s="39"/>
    </row>
    <row r="78" spans="2:9" ht="14.25" x14ac:dyDescent="0.2">
      <c r="B78" s="386" t="s">
        <v>348</v>
      </c>
      <c r="C78" s="760">
        <f t="shared" si="7"/>
        <v>123729.23</v>
      </c>
      <c r="D78" s="761">
        <f t="shared" si="8"/>
        <v>141337.29</v>
      </c>
      <c r="G78" s="39"/>
    </row>
    <row r="79" spans="2:9" ht="14.25" x14ac:dyDescent="0.2">
      <c r="B79" s="386" t="s">
        <v>349</v>
      </c>
      <c r="C79" s="760">
        <f t="shared" si="7"/>
        <v>123729.23</v>
      </c>
      <c r="D79" s="761">
        <f t="shared" si="8"/>
        <v>141337.29</v>
      </c>
      <c r="G79" s="39"/>
    </row>
    <row r="80" spans="2:9" ht="14.25" x14ac:dyDescent="0.2">
      <c r="B80" s="386" t="s">
        <v>350</v>
      </c>
      <c r="C80" s="760">
        <f t="shared" si="7"/>
        <v>123729.23</v>
      </c>
      <c r="D80" s="761">
        <f t="shared" si="8"/>
        <v>141337.29</v>
      </c>
      <c r="G80" s="39"/>
    </row>
    <row r="81" spans="2:7" ht="14.25" x14ac:dyDescent="0.2">
      <c r="B81" s="386" t="s">
        <v>351</v>
      </c>
      <c r="C81" s="760">
        <f t="shared" si="7"/>
        <v>123729.23</v>
      </c>
      <c r="D81" s="761">
        <f t="shared" si="8"/>
        <v>141337.29</v>
      </c>
      <c r="G81" s="39"/>
    </row>
    <row r="82" spans="2:7" ht="13.15" customHeight="1" x14ac:dyDescent="0.2">
      <c r="B82" s="386" t="s">
        <v>352</v>
      </c>
      <c r="C82" s="762">
        <f t="shared" si="7"/>
        <v>123729.23</v>
      </c>
      <c r="D82" s="763">
        <f t="shared" si="8"/>
        <v>141337.29</v>
      </c>
      <c r="G82" s="39"/>
    </row>
    <row r="83" spans="2:7" ht="14.25" x14ac:dyDescent="0.2">
      <c r="C83" s="64"/>
      <c r="D83" s="64"/>
      <c r="E83" s="64"/>
      <c r="F83" s="112"/>
      <c r="G83" s="64"/>
    </row>
  </sheetData>
  <mergeCells count="3">
    <mergeCell ref="B65:B66"/>
    <mergeCell ref="B2:B4"/>
    <mergeCell ref="B26:B27"/>
  </mergeCells>
  <phoneticPr fontId="0" type="noConversion"/>
  <hyperlinks>
    <hyperlink ref="J1" location="'2'!A1" display="Оглавление"/>
  </hyperlinks>
  <printOptions horizontalCentered="1"/>
  <pageMargins left="0.39370078740157483" right="0.39370078740157483" top="0.15748031496062992" bottom="0.11811023622047245" header="0.19685039370078741" footer="0.23622047244094491"/>
  <pageSetup paperSize="9" scale="58" orientation="portrait" r:id="rId1"/>
  <headerFooter alignWithMargins="0">
    <oddHeader>&amp;A</oddHeader>
  </headerFooter>
  <ignoredErrors>
    <ignoredError sqref="B68:B82" numberStoredAsText="1"/>
  </ignoredErrors>
  <drawing r:id="rId2"/>
  <tableParts count="9"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B1:E84"/>
  <sheetViews>
    <sheetView showGridLines="0" showRowColHeaders="0" view="pageBreakPreview" zoomScaleNormal="75" zoomScaleSheetLayoutView="100" workbookViewId="0">
      <pane ySplit="2" topLeftCell="A12" activePane="bottomLeft" state="frozen"/>
      <selection pane="bottomLeft" activeCell="A3" sqref="A3"/>
    </sheetView>
  </sheetViews>
  <sheetFormatPr defaultColWidth="8.85546875" defaultRowHeight="12.75" x14ac:dyDescent="0.2"/>
  <cols>
    <col min="1" max="1" width="5.7109375" style="13" customWidth="1"/>
    <col min="2" max="2" width="19.140625" style="13" customWidth="1"/>
    <col min="3" max="4" width="17.7109375" style="13" customWidth="1"/>
    <col min="5" max="5" width="10.7109375" style="13" bestFit="1" customWidth="1"/>
    <col min="6" max="16384" width="8.85546875" style="13"/>
  </cols>
  <sheetData>
    <row r="1" spans="2:5" ht="14.25" x14ac:dyDescent="0.2">
      <c r="B1" s="157" t="s">
        <v>88</v>
      </c>
      <c r="C1" s="356" t="s">
        <v>77</v>
      </c>
      <c r="D1" s="356"/>
      <c r="E1" s="31" t="s">
        <v>162</v>
      </c>
    </row>
    <row r="2" spans="2:5" ht="14.25" x14ac:dyDescent="0.2">
      <c r="B2" s="157"/>
      <c r="C2" s="157" t="s">
        <v>69</v>
      </c>
      <c r="D2" s="157" t="s">
        <v>106</v>
      </c>
    </row>
    <row r="3" spans="2:5" ht="14.25" x14ac:dyDescent="0.2">
      <c r="B3" s="38"/>
      <c r="C3" s="38"/>
      <c r="D3" s="38"/>
    </row>
    <row r="4" spans="2:5" ht="14.25" x14ac:dyDescent="0.2">
      <c r="D4" s="644">
        <v>43332</v>
      </c>
    </row>
    <row r="5" spans="2:5" ht="20.25" customHeight="1" x14ac:dyDescent="0.2">
      <c r="B5" s="387" t="s">
        <v>287</v>
      </c>
      <c r="C5" s="388" t="s">
        <v>353</v>
      </c>
      <c r="D5" s="389" t="s">
        <v>354</v>
      </c>
    </row>
    <row r="6" spans="2:5" ht="14.25" x14ac:dyDescent="0.2">
      <c r="B6" s="405" t="s">
        <v>355</v>
      </c>
      <c r="C6" s="760">
        <f>ROUND(198464.19*1.02,2)</f>
        <v>202433.47</v>
      </c>
      <c r="D6" s="761">
        <f>ROUND(213548.94*1.02,2)</f>
        <v>217819.92</v>
      </c>
    </row>
    <row r="7" spans="2:5" ht="14.25" x14ac:dyDescent="0.2">
      <c r="B7" s="406" t="s">
        <v>356</v>
      </c>
      <c r="C7" s="760">
        <f>ROUND(165617.14*1.02,2)</f>
        <v>168929.48</v>
      </c>
      <c r="D7" s="761">
        <f>ROUND(181327.51*1.02,2)</f>
        <v>184954.06</v>
      </c>
    </row>
    <row r="8" spans="2:5" ht="14.25" x14ac:dyDescent="0.2">
      <c r="B8" s="413" t="s">
        <v>357</v>
      </c>
      <c r="C8" s="760">
        <f>ROUND(137156.55*1.02,2)</f>
        <v>139899.68</v>
      </c>
      <c r="D8" s="761">
        <f>ROUND(151604.53*1.02,2)</f>
        <v>154636.62</v>
      </c>
    </row>
    <row r="9" spans="2:5" ht="14.25" x14ac:dyDescent="0.2">
      <c r="B9" s="407" t="s">
        <v>358</v>
      </c>
      <c r="C9" s="760">
        <f>ROUND(123943.74*1.02,2)</f>
        <v>126422.61</v>
      </c>
      <c r="D9" s="761">
        <f>ROUND(138643.43*1.02,2)</f>
        <v>141416.29999999999</v>
      </c>
    </row>
    <row r="10" spans="2:5" ht="14.25" x14ac:dyDescent="0.2">
      <c r="B10" s="414" t="s">
        <v>359</v>
      </c>
      <c r="C10" s="760">
        <f>ROUND(99885.23*1.02,2)</f>
        <v>101882.93</v>
      </c>
      <c r="D10" s="761">
        <f>ROUND(112731.47*1.02,2)</f>
        <v>114986.1</v>
      </c>
    </row>
    <row r="11" spans="2:5" ht="14.25" x14ac:dyDescent="0.2">
      <c r="B11" s="408" t="s">
        <v>360</v>
      </c>
      <c r="C11" s="760">
        <f>ROUND(92286.04*1.02,2)</f>
        <v>94131.76</v>
      </c>
      <c r="D11" s="761">
        <f>ROUND(105277*1.02,2)</f>
        <v>107382.54</v>
      </c>
    </row>
    <row r="12" spans="2:5" ht="14.25" x14ac:dyDescent="0.2">
      <c r="B12" s="409" t="s">
        <v>361</v>
      </c>
      <c r="C12" s="760">
        <f>ROUND(92006.78*1.02,2)</f>
        <v>93846.92</v>
      </c>
      <c r="D12" s="761">
        <f>ROUND(105003.06*1.02,2)</f>
        <v>107103.12</v>
      </c>
    </row>
    <row r="13" spans="2:5" ht="14.25" x14ac:dyDescent="0.2">
      <c r="B13" s="410" t="s">
        <v>362</v>
      </c>
      <c r="C13" s="760">
        <f>ROUND(87092.42*1.02,2)</f>
        <v>88834.27</v>
      </c>
      <c r="D13" s="761">
        <f>ROUND(100182.36*1.02,2)</f>
        <v>102186.01</v>
      </c>
    </row>
    <row r="14" spans="2:5" ht="14.25" x14ac:dyDescent="0.2">
      <c r="B14" s="386" t="s">
        <v>363</v>
      </c>
      <c r="C14" s="760">
        <f>ROUND(86205.37*1.02,2)</f>
        <v>87929.48</v>
      </c>
      <c r="D14" s="761">
        <f>ROUND(99312.15*1.02,2)</f>
        <v>101298.39</v>
      </c>
    </row>
    <row r="15" spans="2:5" ht="14.25" x14ac:dyDescent="0.2">
      <c r="B15" s="386" t="s">
        <v>364</v>
      </c>
      <c r="C15" s="760">
        <f>ROUND(82657.01*1.02,2)</f>
        <v>84310.15</v>
      </c>
      <c r="D15" s="761">
        <f>ROUND(95831.45*1.02,2)</f>
        <v>97748.08</v>
      </c>
    </row>
    <row r="16" spans="2:5" ht="14.25" x14ac:dyDescent="0.2">
      <c r="B16" s="386" t="s">
        <v>339</v>
      </c>
      <c r="C16" s="760">
        <f>ROUND(89068.07*1.02,2)</f>
        <v>90849.43</v>
      </c>
      <c r="D16" s="761">
        <f>ROUND(100521.71*1.02,2)</f>
        <v>102532.14</v>
      </c>
    </row>
    <row r="17" spans="2:5" ht="13.9" customHeight="1" x14ac:dyDescent="0.2">
      <c r="B17" s="411" t="s">
        <v>340</v>
      </c>
      <c r="C17" s="762">
        <f>ROUND(87668.2*1.02,2)</f>
        <v>89421.56</v>
      </c>
      <c r="D17" s="763">
        <f>ROUND(99148.47*1.02,2)</f>
        <v>101131.44</v>
      </c>
    </row>
    <row r="18" spans="2:5" ht="13.9" customHeight="1" x14ac:dyDescent="0.2">
      <c r="B18" s="137"/>
      <c r="C18" s="32"/>
      <c r="D18" s="32"/>
    </row>
    <row r="19" spans="2:5" ht="15" x14ac:dyDescent="0.25">
      <c r="B19" s="48"/>
      <c r="C19" s="48"/>
      <c r="D19" s="644">
        <v>43332</v>
      </c>
    </row>
    <row r="20" spans="2:5" ht="27.75" customHeight="1" x14ac:dyDescent="0.2">
      <c r="B20" s="390" t="s">
        <v>287</v>
      </c>
      <c r="C20" s="391" t="s">
        <v>353</v>
      </c>
      <c r="D20" s="392" t="s">
        <v>354</v>
      </c>
    </row>
    <row r="21" spans="2:5" ht="14.25" x14ac:dyDescent="0.2">
      <c r="B21" s="412">
        <v>8</v>
      </c>
      <c r="C21" s="760">
        <f>ROUND(119664.92*1.02,2)</f>
        <v>122058.22</v>
      </c>
      <c r="D21" s="761">
        <f>ROUND(136194.79*1.02,2)</f>
        <v>138918.69</v>
      </c>
      <c r="E21" s="56"/>
    </row>
    <row r="22" spans="2:5" ht="14.25" x14ac:dyDescent="0.2">
      <c r="B22" s="412">
        <v>10</v>
      </c>
      <c r="C22" s="760">
        <f>ROUND(112099.23*1.02,2)</f>
        <v>114341.21</v>
      </c>
      <c r="D22" s="761">
        <f>ROUND(128773.27*1.02,2)</f>
        <v>131348.74</v>
      </c>
      <c r="E22" s="56"/>
    </row>
    <row r="23" spans="2:5" ht="14.25" x14ac:dyDescent="0.2">
      <c r="B23" s="412">
        <v>12</v>
      </c>
      <c r="C23" s="760">
        <f>ROUND(110474.9*1.02,2)</f>
        <v>112684.4</v>
      </c>
      <c r="D23" s="761">
        <f>ROUND(127179.81*1.02,2)</f>
        <v>129723.41</v>
      </c>
      <c r="E23" s="56"/>
    </row>
    <row r="24" spans="2:5" ht="14.25" x14ac:dyDescent="0.2">
      <c r="B24" s="412">
        <v>14</v>
      </c>
      <c r="C24" s="760">
        <f>ROUND(103903.55*1.02,2)</f>
        <v>105981.62</v>
      </c>
      <c r="D24" s="761">
        <f>ROUND(120733.63*1.02,2)</f>
        <v>123148.3</v>
      </c>
      <c r="E24" s="56"/>
    </row>
    <row r="25" spans="2:5" ht="14.25" x14ac:dyDescent="0.2">
      <c r="B25" s="412">
        <v>16</v>
      </c>
      <c r="C25" s="760">
        <f>ROUND(87055.67*1.02,2)</f>
        <v>88796.78</v>
      </c>
      <c r="D25" s="761">
        <f>ROUND(102551.47*1.02,2)</f>
        <v>104602.5</v>
      </c>
      <c r="E25" s="56"/>
    </row>
    <row r="26" spans="2:5" ht="14.25" x14ac:dyDescent="0.2">
      <c r="B26" s="412" t="s">
        <v>365</v>
      </c>
      <c r="C26" s="762">
        <f>ROUND(85321.98*1.02,2)</f>
        <v>87028.42</v>
      </c>
      <c r="D26" s="763">
        <f>ROUND(100850.8*1.02,2)</f>
        <v>102867.82</v>
      </c>
      <c r="E26" s="56"/>
    </row>
    <row r="27" spans="2:5" ht="15" x14ac:dyDescent="0.2">
      <c r="B27" s="738"/>
      <c r="C27" s="738"/>
      <c r="D27" s="49"/>
    </row>
    <row r="28" spans="2:5" ht="15" x14ac:dyDescent="0.2">
      <c r="B28" s="738"/>
      <c r="C28" s="738"/>
      <c r="D28" s="49"/>
    </row>
    <row r="29" spans="2:5" ht="27.95" customHeight="1" x14ac:dyDescent="0.2">
      <c r="B29" s="394" t="s">
        <v>287</v>
      </c>
      <c r="C29" s="391" t="s">
        <v>353</v>
      </c>
      <c r="D29" s="392" t="s">
        <v>354</v>
      </c>
    </row>
    <row r="30" spans="2:5" ht="14.25" x14ac:dyDescent="0.2">
      <c r="B30" s="412">
        <v>8</v>
      </c>
      <c r="C30" s="760">
        <f>ROUND(122058.99*1.02,2)</f>
        <v>124500.17</v>
      </c>
      <c r="D30" s="761">
        <f>ROUND(138543.25*1.02,2)</f>
        <v>141314.12</v>
      </c>
      <c r="E30" s="56"/>
    </row>
    <row r="31" spans="2:5" ht="14.25" x14ac:dyDescent="0.2">
      <c r="B31" s="412">
        <v>10</v>
      </c>
      <c r="C31" s="760">
        <f>ROUND(114342.61*1.02,2)</f>
        <v>116629.46</v>
      </c>
      <c r="D31" s="761">
        <f>ROUND(130973.86*1.02,2)</f>
        <v>133593.34</v>
      </c>
      <c r="E31" s="56"/>
    </row>
    <row r="32" spans="2:5" ht="14.25" x14ac:dyDescent="0.2">
      <c r="B32" s="412">
        <v>12</v>
      </c>
      <c r="C32" s="760">
        <f>ROUND(112685.43*1.02,2)</f>
        <v>114939.14</v>
      </c>
      <c r="D32" s="761">
        <f>ROUND(129348.19*1.02,2)</f>
        <v>131935.15</v>
      </c>
      <c r="E32" s="56"/>
    </row>
    <row r="33" spans="2:5" ht="14.25" x14ac:dyDescent="0.2">
      <c r="B33" s="412">
        <v>14</v>
      </c>
      <c r="C33" s="760">
        <f>ROUND(105979.84*1.02,2)</f>
        <v>108099.44</v>
      </c>
      <c r="D33" s="761">
        <f>ROUND(122770.4*1.02,2)</f>
        <v>125225.81</v>
      </c>
      <c r="E33" s="56"/>
    </row>
    <row r="34" spans="2:5" ht="14.25" x14ac:dyDescent="0.2">
      <c r="B34" s="412">
        <v>16</v>
      </c>
      <c r="C34" s="760">
        <f>ROUND(88796.96*1.02,2)</f>
        <v>90572.9</v>
      </c>
      <c r="D34" s="761">
        <f>ROUND(104259.53*1.02,2)</f>
        <v>106344.72</v>
      </c>
      <c r="E34" s="56"/>
    </row>
    <row r="35" spans="2:5" ht="14.25" x14ac:dyDescent="0.2">
      <c r="B35" s="412" t="s">
        <v>365</v>
      </c>
      <c r="C35" s="762">
        <f>ROUND(87030.76*1.02,2)</f>
        <v>88771.38</v>
      </c>
      <c r="D35" s="763">
        <f>ROUND(102526.99*1.02,2)</f>
        <v>104577.53</v>
      </c>
      <c r="E35" s="56"/>
    </row>
    <row r="36" spans="2:5" ht="14.25" x14ac:dyDescent="0.2">
      <c r="B36" s="137"/>
      <c r="C36" s="32"/>
      <c r="D36" s="32"/>
    </row>
    <row r="37" spans="2:5" ht="14.25" x14ac:dyDescent="0.2">
      <c r="B37" s="137"/>
      <c r="C37" s="32"/>
      <c r="D37" s="49"/>
    </row>
    <row r="38" spans="2:5" ht="30" x14ac:dyDescent="0.2">
      <c r="B38" s="396" t="s">
        <v>287</v>
      </c>
      <c r="C38" s="392" t="s">
        <v>353</v>
      </c>
      <c r="D38" s="392" t="s">
        <v>354</v>
      </c>
    </row>
    <row r="39" spans="2:5" ht="14.25" x14ac:dyDescent="0.2">
      <c r="B39" s="412" t="s">
        <v>367</v>
      </c>
      <c r="C39" s="764">
        <f>ROUND(89777.46*1.02,2)</f>
        <v>91573.01</v>
      </c>
      <c r="D39" s="765">
        <f>ROUND(105953.96*1.02,2)</f>
        <v>108073.04</v>
      </c>
      <c r="E39" s="56"/>
    </row>
    <row r="40" spans="2:5" ht="15" customHeight="1" x14ac:dyDescent="0.2">
      <c r="B40" s="38"/>
      <c r="C40" s="38"/>
      <c r="D40" s="38"/>
    </row>
    <row r="41" spans="2:5" ht="15" customHeight="1" x14ac:dyDescent="0.2">
      <c r="B41" s="38"/>
      <c r="C41" s="38"/>
      <c r="D41" s="38"/>
    </row>
    <row r="42" spans="2:5" ht="27.95" customHeight="1" x14ac:dyDescent="0.2">
      <c r="B42" s="393" t="s">
        <v>287</v>
      </c>
      <c r="C42" s="391" t="s">
        <v>353</v>
      </c>
      <c r="D42" s="392" t="s">
        <v>354</v>
      </c>
    </row>
    <row r="43" spans="2:5" ht="14.25" x14ac:dyDescent="0.2">
      <c r="B43" s="412">
        <v>25</v>
      </c>
      <c r="C43" s="766">
        <f>ROUND(95161.65*1.02,2)</f>
        <v>97064.88</v>
      </c>
      <c r="D43" s="767">
        <f>ROUND(110048.92*1.02,2)</f>
        <v>112249.9</v>
      </c>
      <c r="E43" s="56"/>
    </row>
    <row r="44" spans="2:5" ht="14.25" x14ac:dyDescent="0.2">
      <c r="B44" s="137"/>
      <c r="C44" s="32"/>
      <c r="D44" s="32"/>
    </row>
    <row r="45" spans="2:5" ht="14.25" x14ac:dyDescent="0.2">
      <c r="B45" s="137"/>
      <c r="C45" s="32"/>
      <c r="D45" s="49"/>
    </row>
    <row r="46" spans="2:5" ht="27.95" customHeight="1" x14ac:dyDescent="0.2">
      <c r="B46" s="395" t="s">
        <v>287</v>
      </c>
      <c r="C46" s="391" t="s">
        <v>353</v>
      </c>
      <c r="D46" s="392" t="s">
        <v>354</v>
      </c>
    </row>
    <row r="47" spans="2:5" ht="14.25" x14ac:dyDescent="0.2">
      <c r="B47" s="412" t="s">
        <v>366</v>
      </c>
      <c r="C47" s="764">
        <f>ROUND(91560*1.02,2)</f>
        <v>93391.2</v>
      </c>
      <c r="D47" s="765">
        <f>ROUND(107736.51*1.02,2)</f>
        <v>109891.24</v>
      </c>
      <c r="E47" s="56"/>
    </row>
    <row r="48" spans="2:5" ht="14.25" x14ac:dyDescent="0.2">
      <c r="B48" s="137"/>
      <c r="C48" s="32"/>
      <c r="D48" s="32"/>
    </row>
    <row r="49" spans="2:4" ht="14.25" x14ac:dyDescent="0.2">
      <c r="B49" s="137"/>
      <c r="C49" s="32"/>
      <c r="D49" s="49"/>
    </row>
    <row r="50" spans="2:4" ht="13.9" hidden="1" customHeight="1" x14ac:dyDescent="0.2">
      <c r="B50" s="137"/>
      <c r="C50" s="32"/>
      <c r="D50" s="32"/>
    </row>
    <row r="51" spans="2:4" ht="13.9" hidden="1" customHeight="1" x14ac:dyDescent="0.2">
      <c r="B51" s="137"/>
      <c r="C51" s="32"/>
      <c r="D51" s="32"/>
    </row>
    <row r="52" spans="2:4" ht="13.9" hidden="1" customHeight="1" x14ac:dyDescent="0.2">
      <c r="B52" s="137"/>
      <c r="C52" s="32"/>
      <c r="D52" s="32"/>
    </row>
    <row r="53" spans="2:4" ht="13.9" hidden="1" customHeight="1" x14ac:dyDescent="0.2">
      <c r="B53" s="137"/>
      <c r="C53" s="32"/>
      <c r="D53" s="32"/>
    </row>
    <row r="54" spans="2:4" ht="13.9" hidden="1" customHeight="1" x14ac:dyDescent="0.2">
      <c r="B54" s="137"/>
      <c r="C54" s="32"/>
      <c r="D54" s="32"/>
    </row>
    <row r="55" spans="2:4" ht="13.9" hidden="1" customHeight="1" x14ac:dyDescent="0.2">
      <c r="B55" s="137"/>
      <c r="C55" s="32"/>
      <c r="D55" s="32"/>
    </row>
    <row r="56" spans="2:4" ht="13.9" hidden="1" customHeight="1" x14ac:dyDescent="0.2">
      <c r="B56" s="137"/>
      <c r="C56" s="32"/>
      <c r="D56" s="32"/>
    </row>
    <row r="57" spans="2:4" ht="13.9" hidden="1" customHeight="1" x14ac:dyDescent="0.2">
      <c r="B57" s="137"/>
      <c r="C57" s="32"/>
      <c r="D57" s="32"/>
    </row>
    <row r="58" spans="2:4" ht="13.9" hidden="1" customHeight="1" x14ac:dyDescent="0.2">
      <c r="B58" s="137"/>
      <c r="C58" s="32"/>
      <c r="D58" s="32"/>
    </row>
    <row r="59" spans="2:4" ht="13.9" hidden="1" customHeight="1" x14ac:dyDescent="0.2">
      <c r="B59" s="137"/>
      <c r="C59" s="32"/>
      <c r="D59" s="32"/>
    </row>
    <row r="60" spans="2:4" ht="13.9" hidden="1" customHeight="1" x14ac:dyDescent="0.2">
      <c r="B60" s="137"/>
      <c r="C60" s="32"/>
      <c r="D60" s="32"/>
    </row>
    <row r="61" spans="2:4" ht="13.9" hidden="1" customHeight="1" x14ac:dyDescent="0.2">
      <c r="B61" s="137"/>
      <c r="C61" s="32"/>
      <c r="D61" s="32"/>
    </row>
    <row r="62" spans="2:4" ht="13.9" hidden="1" customHeight="1" x14ac:dyDescent="0.2">
      <c r="B62" s="137"/>
      <c r="C62" s="32"/>
      <c r="D62" s="32"/>
    </row>
    <row r="63" spans="2:4" ht="13.9" hidden="1" customHeight="1" x14ac:dyDescent="0.2">
      <c r="B63" s="137"/>
      <c r="C63" s="32"/>
      <c r="D63" s="32"/>
    </row>
    <row r="64" spans="2:4" ht="13.9" hidden="1" customHeight="1" x14ac:dyDescent="0.2">
      <c r="B64" s="137"/>
      <c r="C64" s="32"/>
      <c r="D64" s="32"/>
    </row>
    <row r="65" spans="2:4" ht="13.9" hidden="1" customHeight="1" x14ac:dyDescent="0.2">
      <c r="B65" s="137"/>
      <c r="C65" s="32"/>
      <c r="D65" s="32"/>
    </row>
    <row r="66" spans="2:4" ht="13.9" hidden="1" customHeight="1" x14ac:dyDescent="0.2">
      <c r="B66" s="137"/>
      <c r="C66" s="32"/>
      <c r="D66" s="32"/>
    </row>
    <row r="67" spans="2:4" ht="13.9" hidden="1" customHeight="1" x14ac:dyDescent="0.2">
      <c r="B67" s="137"/>
      <c r="C67" s="32"/>
      <c r="D67" s="32"/>
    </row>
    <row r="68" spans="2:4" ht="13.9" hidden="1" customHeight="1" x14ac:dyDescent="0.2">
      <c r="B68" s="137"/>
      <c r="C68" s="32"/>
      <c r="D68" s="32"/>
    </row>
    <row r="69" spans="2:4" ht="13.9" hidden="1" customHeight="1" x14ac:dyDescent="0.2">
      <c r="B69" s="137"/>
      <c r="C69" s="32"/>
      <c r="D69" s="32"/>
    </row>
    <row r="70" spans="2:4" ht="13.15" hidden="1" customHeight="1" x14ac:dyDescent="0.2">
      <c r="B70" s="842"/>
      <c r="C70" s="848" t="s">
        <v>128</v>
      </c>
      <c r="D70" s="845"/>
    </row>
    <row r="71" spans="2:4" ht="16.899999999999999" hidden="1" customHeight="1" thickBot="1" x14ac:dyDescent="0.25">
      <c r="B71" s="843"/>
      <c r="C71" s="849"/>
      <c r="D71" s="847"/>
    </row>
    <row r="72" spans="2:4" ht="13.9" hidden="1" customHeight="1" x14ac:dyDescent="0.2">
      <c r="B72" s="74"/>
      <c r="C72" s="33">
        <v>30781.396799999999</v>
      </c>
      <c r="D72" s="33">
        <v>40015.815840000003</v>
      </c>
    </row>
    <row r="73" spans="2:4" ht="13.9" hidden="1" customHeight="1" x14ac:dyDescent="0.2">
      <c r="B73" s="25"/>
      <c r="C73" s="33">
        <v>29914.315200000001</v>
      </c>
      <c r="D73" s="33">
        <v>38888.609759999999</v>
      </c>
    </row>
    <row r="74" spans="2:4" ht="13.9" hidden="1" customHeight="1" x14ac:dyDescent="0.2">
      <c r="B74" s="25"/>
      <c r="C74" s="33">
        <v>28902.720000000001</v>
      </c>
      <c r="D74" s="33">
        <v>37573.536</v>
      </c>
    </row>
    <row r="75" spans="2:4" ht="13.9" hidden="1" customHeight="1" x14ac:dyDescent="0.2">
      <c r="B75" s="25"/>
      <c r="C75" s="33">
        <v>28758.206399999999</v>
      </c>
      <c r="D75" s="33">
        <v>37385.668319999997</v>
      </c>
    </row>
    <row r="76" spans="2:4" ht="13.9" hidden="1" customHeight="1" x14ac:dyDescent="0.2">
      <c r="B76" s="25"/>
      <c r="C76" s="33">
        <v>28324.6656</v>
      </c>
      <c r="D76" s="33">
        <v>36822.065280000003</v>
      </c>
    </row>
    <row r="77" spans="2:4" ht="13.9" hidden="1" customHeight="1" x14ac:dyDescent="0.2">
      <c r="B77" s="25"/>
      <c r="C77" s="33">
        <v>28035.6384</v>
      </c>
      <c r="D77" s="33">
        <v>36446.329919999996</v>
      </c>
    </row>
    <row r="78" spans="2:4" ht="13.9" hidden="1" customHeight="1" x14ac:dyDescent="0.2">
      <c r="B78" s="25"/>
      <c r="C78" s="33">
        <v>28758.206399999999</v>
      </c>
      <c r="D78" s="33">
        <v>37385.668319999997</v>
      </c>
    </row>
    <row r="79" spans="2:4" ht="13.9" hidden="1" customHeight="1" x14ac:dyDescent="0.2">
      <c r="B79" s="137"/>
      <c r="C79" s="32"/>
      <c r="D79" s="32"/>
    </row>
    <row r="80" spans="2:4" ht="13.15" hidden="1" customHeight="1" x14ac:dyDescent="0.2">
      <c r="B80" s="842"/>
      <c r="C80" s="844" t="s">
        <v>129</v>
      </c>
      <c r="D80" s="845"/>
    </row>
    <row r="81" spans="2:4" ht="21" hidden="1" customHeight="1" thickBot="1" x14ac:dyDescent="0.25">
      <c r="B81" s="843"/>
      <c r="C81" s="846"/>
      <c r="D81" s="847"/>
    </row>
    <row r="82" spans="2:4" ht="13.9" hidden="1" customHeight="1" x14ac:dyDescent="0.2">
      <c r="B82" s="89"/>
      <c r="C82" s="34">
        <v>27457.583999999999</v>
      </c>
      <c r="D82" s="34">
        <v>35694.859199999999</v>
      </c>
    </row>
    <row r="83" spans="2:4" ht="13.9" hidden="1" customHeight="1" x14ac:dyDescent="0.2">
      <c r="B83" s="137"/>
      <c r="C83" s="32"/>
      <c r="D83" s="32"/>
    </row>
    <row r="84" spans="2:4" ht="13.9" hidden="1" customHeight="1" x14ac:dyDescent="0.2">
      <c r="B84" s="841"/>
      <c r="C84" s="841"/>
      <c r="D84" s="841"/>
    </row>
  </sheetData>
  <mergeCells count="5">
    <mergeCell ref="B84:D84"/>
    <mergeCell ref="B80:B81"/>
    <mergeCell ref="C80:D81"/>
    <mergeCell ref="B70:B71"/>
    <mergeCell ref="C70:D71"/>
  </mergeCells>
  <phoneticPr fontId="23" type="noConversion"/>
  <hyperlinks>
    <hyperlink ref="E1" location="'2'!A1" display="Оглавление"/>
  </hyperlinks>
  <printOptions horizontalCentered="1"/>
  <pageMargins left="0.78740157480314965" right="0.78740157480314965" top="0.70866141732283472" bottom="0.59055118110236227" header="0.31496062992125984" footer="0.35433070866141736"/>
  <pageSetup paperSize="9" scale="99" orientation="portrait" r:id="rId1"/>
  <headerFooter alignWithMargins="0">
    <oddHeader>&amp;A</oddHeader>
  </headerFooter>
  <ignoredErrors>
    <ignoredError sqref="B14:B17" numberStoredAsText="1"/>
  </ignoredErrors>
  <drawing r:id="rId2"/>
  <tableParts count="6">
    <tablePart r:id="rId3"/>
    <tablePart r:id="rId4"/>
    <tablePart r:id="rId5"/>
    <tablePart r:id="rId6"/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C59"/>
  <sheetViews>
    <sheetView showGridLines="0" showRowColHeaders="0" zoomScaleNormal="100" zoomScaleSheetLayoutView="100" workbookViewId="0">
      <pane ySplit="1" topLeftCell="A29" activePane="bottomLeft" state="frozen"/>
      <selection pane="bottomLeft" activeCell="C2" sqref="C2"/>
    </sheetView>
  </sheetViews>
  <sheetFormatPr defaultColWidth="0" defaultRowHeight="12.75" zeroHeight="1" x14ac:dyDescent="0.2"/>
  <cols>
    <col min="1" max="1" width="26.42578125" style="6" customWidth="1"/>
    <col min="2" max="2" width="73.42578125" style="54" customWidth="1"/>
    <col min="3" max="3" width="5.7109375" style="91" customWidth="1"/>
    <col min="4" max="16384" width="0" style="44" hidden="1"/>
  </cols>
  <sheetData>
    <row r="1" spans="1:3" ht="38.450000000000003" customHeight="1" x14ac:dyDescent="0.2">
      <c r="A1" s="167" t="s">
        <v>165</v>
      </c>
      <c r="B1" s="167"/>
      <c r="C1" s="90" t="s">
        <v>224</v>
      </c>
    </row>
    <row r="2" spans="1:3" x14ac:dyDescent="0.2">
      <c r="A2" s="164" t="s">
        <v>275</v>
      </c>
      <c r="B2" s="164"/>
      <c r="C2" s="164"/>
    </row>
    <row r="3" spans="1:3" x14ac:dyDescent="0.2">
      <c r="A3" s="169" t="s">
        <v>28</v>
      </c>
      <c r="B3" s="160" t="s">
        <v>238</v>
      </c>
      <c r="C3" s="161">
        <v>3</v>
      </c>
    </row>
    <row r="4" spans="1:3" x14ac:dyDescent="0.2">
      <c r="A4" s="169" t="s">
        <v>111</v>
      </c>
      <c r="B4" s="160" t="s">
        <v>168</v>
      </c>
      <c r="C4" s="161">
        <v>3</v>
      </c>
    </row>
    <row r="5" spans="1:3" x14ac:dyDescent="0.2">
      <c r="A5" s="169" t="s">
        <v>131</v>
      </c>
      <c r="B5" s="160" t="s">
        <v>138</v>
      </c>
      <c r="C5" s="161">
        <v>3</v>
      </c>
    </row>
    <row r="6" spans="1:3" x14ac:dyDescent="0.2">
      <c r="A6" s="169" t="s">
        <v>151</v>
      </c>
      <c r="B6" s="160" t="s">
        <v>152</v>
      </c>
      <c r="C6" s="161">
        <v>3</v>
      </c>
    </row>
    <row r="7" spans="1:3" x14ac:dyDescent="0.2">
      <c r="A7" s="169" t="s">
        <v>259</v>
      </c>
      <c r="B7" s="160" t="s">
        <v>260</v>
      </c>
      <c r="C7" s="161">
        <v>3</v>
      </c>
    </row>
    <row r="8" spans="1:3" x14ac:dyDescent="0.2">
      <c r="A8" s="169" t="s">
        <v>268</v>
      </c>
      <c r="B8" s="160" t="s">
        <v>269</v>
      </c>
      <c r="C8" s="161">
        <v>3</v>
      </c>
    </row>
    <row r="9" spans="1:3" x14ac:dyDescent="0.2">
      <c r="A9" s="169" t="s">
        <v>62</v>
      </c>
      <c r="B9" s="160" t="s">
        <v>63</v>
      </c>
      <c r="C9" s="161">
        <v>4</v>
      </c>
    </row>
    <row r="10" spans="1:3" x14ac:dyDescent="0.2">
      <c r="A10" s="169" t="s">
        <v>65</v>
      </c>
      <c r="B10" s="160" t="s">
        <v>66</v>
      </c>
      <c r="C10" s="161">
        <v>4</v>
      </c>
    </row>
    <row r="11" spans="1:3" x14ac:dyDescent="0.2">
      <c r="A11" s="169" t="s">
        <v>191</v>
      </c>
      <c r="B11" s="160" t="s">
        <v>7</v>
      </c>
      <c r="C11" s="161">
        <v>4</v>
      </c>
    </row>
    <row r="12" spans="1:3" x14ac:dyDescent="0.2">
      <c r="A12" s="169" t="s">
        <v>64</v>
      </c>
      <c r="B12" s="160" t="s">
        <v>167</v>
      </c>
      <c r="C12" s="161">
        <v>4</v>
      </c>
    </row>
    <row r="13" spans="1:3" x14ac:dyDescent="0.2">
      <c r="A13" s="169" t="s">
        <v>196</v>
      </c>
      <c r="B13" s="160" t="s">
        <v>13</v>
      </c>
      <c r="C13" s="161">
        <v>4</v>
      </c>
    </row>
    <row r="14" spans="1:3" x14ac:dyDescent="0.2">
      <c r="A14" s="169" t="s">
        <v>236</v>
      </c>
      <c r="B14" s="160" t="s">
        <v>274</v>
      </c>
      <c r="C14" s="161">
        <v>4</v>
      </c>
    </row>
    <row r="15" spans="1:3" x14ac:dyDescent="0.2">
      <c r="A15" s="169" t="s">
        <v>50</v>
      </c>
      <c r="B15" s="160" t="s">
        <v>26</v>
      </c>
      <c r="C15" s="161">
        <v>4</v>
      </c>
    </row>
    <row r="16" spans="1:3" ht="18" customHeight="1" x14ac:dyDescent="0.2">
      <c r="A16" s="166" t="s">
        <v>276</v>
      </c>
      <c r="B16" s="164"/>
      <c r="C16" s="164"/>
    </row>
    <row r="17" spans="1:3" x14ac:dyDescent="0.2">
      <c r="A17" s="169" t="s">
        <v>178</v>
      </c>
      <c r="B17" s="160" t="s">
        <v>67</v>
      </c>
      <c r="C17" s="161">
        <v>5</v>
      </c>
    </row>
    <row r="18" spans="1:3" x14ac:dyDescent="0.2">
      <c r="A18" s="169" t="s">
        <v>143</v>
      </c>
      <c r="B18" s="160" t="s">
        <v>166</v>
      </c>
      <c r="C18" s="161">
        <v>5</v>
      </c>
    </row>
    <row r="19" spans="1:3" x14ac:dyDescent="0.2">
      <c r="A19" s="169" t="s">
        <v>197</v>
      </c>
      <c r="B19" s="160" t="s">
        <v>10</v>
      </c>
      <c r="C19" s="161">
        <v>6</v>
      </c>
    </row>
    <row r="20" spans="1:3" x14ac:dyDescent="0.2">
      <c r="A20" s="169" t="s">
        <v>192</v>
      </c>
      <c r="B20" s="160" t="s">
        <v>218</v>
      </c>
      <c r="C20" s="161">
        <v>6</v>
      </c>
    </row>
    <row r="21" spans="1:3" x14ac:dyDescent="0.2">
      <c r="A21" s="169" t="s">
        <v>194</v>
      </c>
      <c r="B21" s="160" t="s">
        <v>11</v>
      </c>
      <c r="C21" s="161">
        <v>6</v>
      </c>
    </row>
    <row r="22" spans="1:3" s="6" customFormat="1" x14ac:dyDescent="0.2">
      <c r="A22" s="169" t="s">
        <v>109</v>
      </c>
      <c r="B22" s="160" t="s">
        <v>113</v>
      </c>
      <c r="C22" s="161">
        <v>6</v>
      </c>
    </row>
    <row r="23" spans="1:3" s="6" customFormat="1" x14ac:dyDescent="0.2">
      <c r="A23" s="169" t="s">
        <v>15</v>
      </c>
      <c r="B23" s="160" t="s">
        <v>14</v>
      </c>
      <c r="C23" s="161">
        <v>6</v>
      </c>
    </row>
    <row r="24" spans="1:3" x14ac:dyDescent="0.2">
      <c r="A24" s="169" t="s">
        <v>133</v>
      </c>
      <c r="B24" s="160" t="s">
        <v>139</v>
      </c>
      <c r="C24" s="161">
        <v>6</v>
      </c>
    </row>
    <row r="25" spans="1:3" x14ac:dyDescent="0.2">
      <c r="A25" s="169" t="s">
        <v>135</v>
      </c>
      <c r="B25" s="160" t="s">
        <v>134</v>
      </c>
      <c r="C25" s="161">
        <v>6</v>
      </c>
    </row>
    <row r="26" spans="1:3" x14ac:dyDescent="0.2">
      <c r="A26" s="169" t="s">
        <v>175</v>
      </c>
      <c r="B26" s="160" t="s">
        <v>177</v>
      </c>
      <c r="C26" s="161">
        <v>6</v>
      </c>
    </row>
    <row r="27" spans="1:3" s="6" customFormat="1" x14ac:dyDescent="0.2">
      <c r="A27" s="169" t="s">
        <v>140</v>
      </c>
      <c r="B27" s="160" t="s">
        <v>141</v>
      </c>
      <c r="C27" s="161">
        <v>7</v>
      </c>
    </row>
    <row r="28" spans="1:3" ht="13.15" customHeight="1" x14ac:dyDescent="0.2">
      <c r="A28" s="169" t="s">
        <v>261</v>
      </c>
      <c r="B28" s="160" t="s">
        <v>49</v>
      </c>
      <c r="C28" s="161">
        <v>8</v>
      </c>
    </row>
    <row r="29" spans="1:3" x14ac:dyDescent="0.2">
      <c r="A29" s="169" t="s">
        <v>60</v>
      </c>
      <c r="B29" s="160" t="s">
        <v>68</v>
      </c>
      <c r="C29" s="161">
        <v>8</v>
      </c>
    </row>
    <row r="30" spans="1:3" x14ac:dyDescent="0.2">
      <c r="A30" s="169" t="s">
        <v>484</v>
      </c>
      <c r="B30" s="160" t="s">
        <v>485</v>
      </c>
      <c r="C30" s="161">
        <v>8</v>
      </c>
    </row>
    <row r="31" spans="1:3" s="6" customFormat="1" x14ac:dyDescent="0.2">
      <c r="A31" s="169" t="s">
        <v>266</v>
      </c>
      <c r="B31" s="160" t="s">
        <v>267</v>
      </c>
      <c r="C31" s="161">
        <v>8</v>
      </c>
    </row>
    <row r="32" spans="1:3" s="6" customFormat="1" ht="18" customHeight="1" x14ac:dyDescent="0.2">
      <c r="A32" s="166" t="s">
        <v>51</v>
      </c>
      <c r="B32" s="164"/>
      <c r="C32" s="164"/>
    </row>
    <row r="33" spans="1:3" x14ac:dyDescent="0.2">
      <c r="A33" s="169" t="s">
        <v>30</v>
      </c>
      <c r="B33" s="160" t="s">
        <v>217</v>
      </c>
      <c r="C33" s="161">
        <v>8</v>
      </c>
    </row>
    <row r="34" spans="1:3" s="6" customFormat="1" hidden="1" x14ac:dyDescent="0.2">
      <c r="A34" s="159" t="s">
        <v>110</v>
      </c>
      <c r="B34" s="162" t="s">
        <v>112</v>
      </c>
      <c r="C34" s="163">
        <v>14</v>
      </c>
    </row>
    <row r="35" spans="1:3" s="6" customFormat="1" ht="18" customHeight="1" x14ac:dyDescent="0.2">
      <c r="A35" s="168" t="s">
        <v>33</v>
      </c>
      <c r="B35" s="165"/>
      <c r="C35" s="165"/>
    </row>
    <row r="36" spans="1:3" s="6" customFormat="1" x14ac:dyDescent="0.2">
      <c r="A36" s="170" t="s">
        <v>31</v>
      </c>
      <c r="B36" s="160" t="s">
        <v>52</v>
      </c>
      <c r="C36" s="161">
        <v>9</v>
      </c>
    </row>
    <row r="37" spans="1:3" s="6" customFormat="1" x14ac:dyDescent="0.2">
      <c r="A37" s="171" t="s">
        <v>32</v>
      </c>
      <c r="B37" s="160" t="s">
        <v>52</v>
      </c>
      <c r="C37" s="161">
        <v>9</v>
      </c>
    </row>
    <row r="38" spans="1:3" s="6" customFormat="1" x14ac:dyDescent="0.2">
      <c r="A38" s="171" t="s">
        <v>34</v>
      </c>
      <c r="B38" s="160" t="s">
        <v>53</v>
      </c>
      <c r="C38" s="161">
        <v>9</v>
      </c>
    </row>
    <row r="39" spans="1:3" s="6" customFormat="1" x14ac:dyDescent="0.2">
      <c r="A39" s="171" t="s">
        <v>35</v>
      </c>
      <c r="B39" s="160" t="s">
        <v>54</v>
      </c>
      <c r="C39" s="161">
        <v>9</v>
      </c>
    </row>
    <row r="40" spans="1:3" s="6" customFormat="1" x14ac:dyDescent="0.2">
      <c r="A40" s="171" t="s">
        <v>36</v>
      </c>
      <c r="B40" s="160" t="s">
        <v>55</v>
      </c>
      <c r="C40" s="161">
        <v>9</v>
      </c>
    </row>
    <row r="41" spans="1:3" s="6" customFormat="1" x14ac:dyDescent="0.2">
      <c r="A41" s="171" t="s">
        <v>37</v>
      </c>
      <c r="B41" s="160" t="s">
        <v>56</v>
      </c>
      <c r="C41" s="161">
        <v>9</v>
      </c>
    </row>
    <row r="42" spans="1:3" s="6" customFormat="1" x14ac:dyDescent="0.2">
      <c r="A42" s="171" t="s">
        <v>38</v>
      </c>
      <c r="B42" s="160" t="s">
        <v>57</v>
      </c>
      <c r="C42" s="161">
        <v>9</v>
      </c>
    </row>
    <row r="43" spans="1:3" s="6" customFormat="1" x14ac:dyDescent="0.2">
      <c r="A43" s="171" t="s">
        <v>206</v>
      </c>
      <c r="B43" s="160" t="s">
        <v>155</v>
      </c>
      <c r="C43" s="161">
        <v>9</v>
      </c>
    </row>
    <row r="44" spans="1:3" s="6" customFormat="1" x14ac:dyDescent="0.2">
      <c r="A44" s="171" t="s">
        <v>5</v>
      </c>
      <c r="B44" s="160" t="s">
        <v>6</v>
      </c>
      <c r="C44" s="161">
        <v>10</v>
      </c>
    </row>
    <row r="45" spans="1:3" s="6" customFormat="1" ht="18" customHeight="1" x14ac:dyDescent="0.2">
      <c r="A45" s="168" t="s">
        <v>45</v>
      </c>
      <c r="B45" s="165"/>
      <c r="C45" s="165"/>
    </row>
    <row r="46" spans="1:3" s="6" customFormat="1" x14ac:dyDescent="0.2">
      <c r="A46" s="171" t="s">
        <v>39</v>
      </c>
      <c r="B46" s="160" t="s">
        <v>58</v>
      </c>
      <c r="C46" s="161">
        <v>11</v>
      </c>
    </row>
    <row r="47" spans="1:3" s="6" customFormat="1" x14ac:dyDescent="0.2">
      <c r="A47" s="171" t="s">
        <v>40</v>
      </c>
      <c r="B47" s="160" t="s">
        <v>59</v>
      </c>
      <c r="C47" s="161">
        <v>11</v>
      </c>
    </row>
    <row r="48" spans="1:3" s="6" customFormat="1" x14ac:dyDescent="0.2">
      <c r="A48" s="171" t="s">
        <v>41</v>
      </c>
      <c r="B48" s="160" t="s">
        <v>225</v>
      </c>
      <c r="C48" s="161">
        <v>11</v>
      </c>
    </row>
    <row r="49" spans="1:3" s="6" customFormat="1" ht="18" customHeight="1" x14ac:dyDescent="0.2">
      <c r="A49" s="168" t="s">
        <v>469</v>
      </c>
      <c r="B49" s="165"/>
      <c r="C49" s="165"/>
    </row>
    <row r="50" spans="1:3" s="6" customFormat="1" ht="12.75" customHeight="1" x14ac:dyDescent="0.2">
      <c r="A50" s="398" t="s">
        <v>108</v>
      </c>
      <c r="B50" s="160" t="s">
        <v>335</v>
      </c>
      <c r="C50" s="161">
        <v>12</v>
      </c>
    </row>
    <row r="51" spans="1:3" s="6" customFormat="1" x14ac:dyDescent="0.2">
      <c r="A51" s="398" t="s">
        <v>108</v>
      </c>
      <c r="B51" s="160" t="s">
        <v>107</v>
      </c>
      <c r="C51" s="161">
        <v>13</v>
      </c>
    </row>
    <row r="52" spans="1:3" s="6" customFormat="1" x14ac:dyDescent="0.2">
      <c r="A52" s="399" t="s">
        <v>108</v>
      </c>
      <c r="B52" s="160" t="s">
        <v>470</v>
      </c>
      <c r="C52" s="161">
        <v>14</v>
      </c>
    </row>
    <row r="53" spans="1:3" s="6" customFormat="1" x14ac:dyDescent="0.2">
      <c r="A53" s="399" t="s">
        <v>108</v>
      </c>
      <c r="B53" s="160" t="s">
        <v>223</v>
      </c>
      <c r="C53" s="161">
        <v>15</v>
      </c>
    </row>
    <row r="54" spans="1:3" ht="12.75" hidden="1" customHeight="1" x14ac:dyDescent="0.2"/>
    <row r="55" spans="1:3" hidden="1" x14ac:dyDescent="0.2"/>
    <row r="56" spans="1:3" hidden="1" x14ac:dyDescent="0.2"/>
    <row r="57" spans="1:3" hidden="1" x14ac:dyDescent="0.2"/>
    <row r="58" spans="1:3" hidden="1" x14ac:dyDescent="0.2"/>
    <row r="59" spans="1:3" x14ac:dyDescent="0.2"/>
  </sheetData>
  <phoneticPr fontId="0" type="noConversion"/>
  <hyperlinks>
    <hyperlink ref="A4" location="'4'!L37" display="ТУ 1211-288-00187211"/>
    <hyperlink ref="A17" location="'6'!H2" display="ГОСТ 9389-75, ТУ459"/>
    <hyperlink ref="A18" location="'6'!H59" display="ТУ 14-4-1338-85"/>
    <hyperlink ref="A33" location="'8'!H2" display="ГОСТ 2246-70"/>
    <hyperlink ref="A22" location="'7'!G44" display="ТУ 14-4-933-78"/>
    <hyperlink ref="A9" location="'5'!D2" display="ГОСТ  7480-73"/>
    <hyperlink ref="A10" location="'5'!D16" display="ГОСТ 15892-70"/>
    <hyperlink ref="A11" location="'5'!H2" display="ГОСТ  1526-81"/>
    <hyperlink ref="A5" location="'4'!G30" display="ТУ 14-178-194-2000"/>
    <hyperlink ref="A12" location="'5'!H16" display="ГОСТ 1668-73"/>
    <hyperlink ref="A13" location="'5'!D27" display="ГОСТ 285-69"/>
    <hyperlink ref="A29" location="'9'!A1" display="ГОСТ   5663-79"/>
    <hyperlink ref="A19" location="'7'!D33" display="ТУ 14-4-1457-87"/>
    <hyperlink ref="A20" location="'7'!G13" display="ГОСТ  9850-72"/>
    <hyperlink ref="A21" location="'7'!D44" display="ТУ14-178-462-2004"/>
    <hyperlink ref="A24" location="'7'!H2" display="ТУ 14-178-394-2001"/>
    <hyperlink ref="A25" location="'7'!C2" display="ТУ 14-178-391-2001"/>
    <hyperlink ref="A26" location="'7'!E2" display="СТО 71915393-ТУ 050-2007"/>
    <hyperlink ref="A15" location="'5'!F27" display="ГОСТ 792-67"/>
    <hyperlink ref="A28" location="'8'!H2" display="ГОСТ  17305-91"/>
    <hyperlink ref="A27" location="'7'!E2" display="ГОСТ 7372-79"/>
    <hyperlink ref="A3" location="'4'!K2" display="ГОСТ 3282-74"/>
    <hyperlink ref="A23" location="'7'!D15" display="ГОСТ 3875-83"/>
    <hyperlink ref="A6" location="'4'!B38" display="ГОСТ 6727-80"/>
    <hyperlink ref="A7" location="'4'!I44" display="СТО 71915393-ТУ126-2013"/>
    <hyperlink ref="A31" location="'9'!E30" display="ГОСТ 7348"/>
    <hyperlink ref="A14" location="'5'!D33" display="ТУ219-95"/>
    <hyperlink ref="A8" location="'4'!F47" display="ТУ 14-178-290-95"/>
    <hyperlink ref="A46" location="калибр" display="ГОСТ 1051-73"/>
    <hyperlink ref="A47" location="калибр" display="ГОСТ 4543-71"/>
    <hyperlink ref="A48" location="калибр" display="ГОСТ 1414-75"/>
    <hyperlink ref="A43" location="гвозди" display="ТУ 012"/>
    <hyperlink ref="A42" location="гвозди" display="ТУ 14-4-1161-82"/>
    <hyperlink ref="A41" location="гвозди" display="ТУ 14-178-259-94"/>
    <hyperlink ref="A40" location="гвозди" display="ГОСТ 4034-63"/>
    <hyperlink ref="A39" location="гвозди" display="ГОСТ 4030-63"/>
    <hyperlink ref="A38" location="гвозди" display="ГОСТ 4029-63"/>
    <hyperlink ref="A37" location="гвозди" display="ТУ 14-178-326-98"/>
    <hyperlink ref="A44" location="'10'!F2" display="DIN EN10230 "/>
    <hyperlink ref="A51" location="'12'!I1" display="Все ГОСТы"/>
    <hyperlink ref="A52" location="'13'!H1" display="Все ГОСТы"/>
    <hyperlink ref="A53" location="'14'!I1" display="Все ГОСТы"/>
    <hyperlink ref="A36" location="гвозди" display="ГОСТ 4028-63"/>
    <hyperlink ref="A3:A8" location="'3'!I2" display="ГОСТ 3282-74"/>
    <hyperlink ref="A9:A15" location="'4'!I2" display="ГОСТ  7480-73"/>
    <hyperlink ref="A17:A18" location="'5'!F2" display="ГОСТ 9389-75, ТУ459"/>
    <hyperlink ref="A19:A26" location="'6'!I2" display="ТУ 14-4-1457-87"/>
    <hyperlink ref="A28:A31" location="'8'!H2" display="ГОСТ  17305-91"/>
    <hyperlink ref="A36:A43" location="'9'!G2" display="ГОСТ 4028-63"/>
    <hyperlink ref="A46:A48" location="'11'!J2" display="ГОСТ 1051-73"/>
    <hyperlink ref="A50" location="'12'!I1" display="Все ГОСТы"/>
  </hyperlinks>
  <pageMargins left="0.63" right="0.51" top="0.5" bottom="0.45" header="0.23" footer="0.26"/>
  <pageSetup paperSize="9" scale="86" orientation="portrait" r:id="rId1"/>
  <headerFooter alignWithMargins="0">
    <oddHeader>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autoPageBreaks="0" fitToPage="1"/>
  </sheetPr>
  <dimension ref="A1:J64"/>
  <sheetViews>
    <sheetView showGridLines="0" showRowColHeaders="0" view="pageBreakPreview" topLeftCell="A37" zoomScaleNormal="100" zoomScaleSheetLayoutView="100" workbookViewId="0"/>
  </sheetViews>
  <sheetFormatPr defaultColWidth="0" defaultRowHeight="12.75" zeroHeight="1" x14ac:dyDescent="0.2"/>
  <cols>
    <col min="1" max="1" width="5.7109375" style="64" customWidth="1"/>
    <col min="2" max="2" width="13" style="19" customWidth="1"/>
    <col min="3" max="9" width="13.7109375" style="19" customWidth="1"/>
    <col min="10" max="10" width="11.140625" style="19" bestFit="1" customWidth="1"/>
    <col min="11" max="16384" width="0" style="19" hidden="1"/>
  </cols>
  <sheetData>
    <row r="1" spans="1:10" x14ac:dyDescent="0.2">
      <c r="A1" s="247"/>
      <c r="I1" s="248">
        <v>43374</v>
      </c>
      <c r="J1" s="249" t="s">
        <v>162</v>
      </c>
    </row>
    <row r="2" spans="1:10" ht="42" customHeight="1" x14ac:dyDescent="0.2">
      <c r="A2" s="250"/>
      <c r="B2" s="819" t="s">
        <v>237</v>
      </c>
      <c r="C2" s="819"/>
      <c r="D2" s="819"/>
      <c r="E2" s="819"/>
      <c r="F2" s="819"/>
      <c r="G2" s="816" t="s">
        <v>311</v>
      </c>
      <c r="H2" s="816"/>
      <c r="I2" s="816"/>
    </row>
    <row r="3" spans="1:10" ht="13.15" customHeight="1" x14ac:dyDescent="0.2">
      <c r="A3" s="251"/>
      <c r="B3" s="415"/>
      <c r="C3" s="252" t="s">
        <v>77</v>
      </c>
      <c r="D3" s="252"/>
      <c r="E3" s="252"/>
      <c r="F3" s="252"/>
      <c r="G3" s="252"/>
      <c r="H3" s="252"/>
      <c r="I3" s="252"/>
    </row>
    <row r="4" spans="1:10" x14ac:dyDescent="0.2">
      <c r="A4" s="251"/>
      <c r="B4" s="416"/>
      <c r="C4" s="252" t="s">
        <v>69</v>
      </c>
      <c r="D4" s="252"/>
      <c r="E4" s="252"/>
      <c r="F4" s="252"/>
      <c r="G4" s="645"/>
      <c r="H4" s="646" t="s">
        <v>207</v>
      </c>
      <c r="I4" s="252"/>
    </row>
    <row r="5" spans="1:10" x14ac:dyDescent="0.2">
      <c r="A5" s="251"/>
      <c r="B5" s="416"/>
      <c r="C5" s="818" t="s">
        <v>212</v>
      </c>
      <c r="D5" s="818"/>
      <c r="E5" s="820" t="s">
        <v>209</v>
      </c>
      <c r="F5" s="820"/>
      <c r="G5" s="647" t="s">
        <v>210</v>
      </c>
      <c r="H5" s="648" t="s">
        <v>211</v>
      </c>
      <c r="I5" s="731" t="s">
        <v>208</v>
      </c>
    </row>
    <row r="6" spans="1:10" ht="26.45" customHeight="1" x14ac:dyDescent="0.2">
      <c r="A6" s="90"/>
      <c r="B6" s="421" t="s">
        <v>287</v>
      </c>
      <c r="C6" s="419" t="s">
        <v>405</v>
      </c>
      <c r="D6" s="420" t="s">
        <v>406</v>
      </c>
      <c r="E6" s="419" t="s">
        <v>407</v>
      </c>
      <c r="F6" s="420" t="s">
        <v>408</v>
      </c>
      <c r="G6" s="649" t="s">
        <v>409</v>
      </c>
      <c r="H6" s="650" t="s">
        <v>410</v>
      </c>
      <c r="I6" s="423" t="s">
        <v>411</v>
      </c>
    </row>
    <row r="7" spans="1:10" x14ac:dyDescent="0.2">
      <c r="A7" s="253"/>
      <c r="B7" s="552">
        <v>0.5</v>
      </c>
      <c r="C7" s="254">
        <f>ROUND(65839.24+4300,2)</f>
        <v>70139.240000000005</v>
      </c>
      <c r="D7" s="254">
        <f>ROUND(66215.06+4300,2)</f>
        <v>70515.06</v>
      </c>
      <c r="E7" s="254">
        <f>ROUND(66215.06+4300,2)</f>
        <v>70515.06</v>
      </c>
      <c r="F7" s="254">
        <f>ROUND(66590.87+4300,2)</f>
        <v>70890.87</v>
      </c>
      <c r="G7" s="254">
        <f>ROUND(68102.07+4300,2)</f>
        <v>72402.070000000007</v>
      </c>
      <c r="H7" s="254"/>
      <c r="I7" s="424"/>
    </row>
    <row r="8" spans="1:10" x14ac:dyDescent="0.2">
      <c r="A8" s="253"/>
      <c r="B8" s="552">
        <v>0.6</v>
      </c>
      <c r="C8" s="254">
        <f>ROUND(59421.83+4300,2)</f>
        <v>63721.83</v>
      </c>
      <c r="D8" s="254">
        <f>ROUND(59797.65+4300,2)</f>
        <v>64097.65</v>
      </c>
      <c r="E8" s="254">
        <f>ROUND(59797.65+4300,2)</f>
        <v>64097.65</v>
      </c>
      <c r="F8" s="254">
        <f>ROUND(60173.47+4300,2)</f>
        <v>64473.47</v>
      </c>
      <c r="G8" s="254">
        <f>ROUND(61365.51+4300,2)</f>
        <v>65665.509999999995</v>
      </c>
      <c r="H8" s="254">
        <f>ROUND(77184+5000,2)</f>
        <v>82184</v>
      </c>
      <c r="I8" s="424"/>
    </row>
    <row r="9" spans="1:10" x14ac:dyDescent="0.2">
      <c r="A9" s="253"/>
      <c r="B9" s="552">
        <v>0.7</v>
      </c>
      <c r="C9" s="254">
        <f>ROUND(56330.53+4300,2)</f>
        <v>60630.53</v>
      </c>
      <c r="D9" s="254">
        <f>ROUND(56706.34+4300,2)</f>
        <v>61006.34</v>
      </c>
      <c r="E9" s="254">
        <f>ROUND(56706.34+4300,2)</f>
        <v>61006.34</v>
      </c>
      <c r="F9" s="254">
        <f>ROUND(57082.15+4300,2)</f>
        <v>61382.15</v>
      </c>
      <c r="G9" s="254">
        <f>ROUND(58153.3+4300,2)</f>
        <v>62453.3</v>
      </c>
      <c r="H9" s="254">
        <f>ROUND(75837+5000,2)</f>
        <v>80837</v>
      </c>
      <c r="I9" s="424"/>
    </row>
    <row r="10" spans="1:10" x14ac:dyDescent="0.2">
      <c r="A10" s="253"/>
      <c r="B10" s="552">
        <v>0.8</v>
      </c>
      <c r="C10" s="254">
        <f>ROUND(54471.83+4300,2)</f>
        <v>58771.83</v>
      </c>
      <c r="D10" s="254">
        <f>ROUND(54847.65+4300,2)</f>
        <v>59147.65</v>
      </c>
      <c r="E10" s="254">
        <f>ROUND(54847.65+4300,2)</f>
        <v>59147.65</v>
      </c>
      <c r="F10" s="254">
        <f>ROUND(55223.45+4300,2)</f>
        <v>59523.45</v>
      </c>
      <c r="G10" s="254">
        <f>ROUND(56225.96+4300,2)</f>
        <v>60525.96</v>
      </c>
      <c r="H10" s="254">
        <f>ROUND(74489+5000,2)</f>
        <v>79489</v>
      </c>
      <c r="I10" s="424">
        <f>ROUND(84689.43+5000,2)</f>
        <v>89689.43</v>
      </c>
    </row>
    <row r="11" spans="1:10" x14ac:dyDescent="0.2">
      <c r="A11" s="253"/>
      <c r="B11" s="552">
        <v>0.9</v>
      </c>
      <c r="C11" s="254">
        <f>ROUND(53123.38+4300,2)</f>
        <v>57423.38</v>
      </c>
      <c r="D11" s="254">
        <f>ROUND(53499.2+4300,2)</f>
        <v>57799.199999999997</v>
      </c>
      <c r="E11" s="254">
        <f>ROUND(53499.2+4300,2)</f>
        <v>57799.199999999997</v>
      </c>
      <c r="F11" s="254">
        <f>ROUND(53875.01+4300,2)</f>
        <v>58175.01</v>
      </c>
      <c r="G11" s="254">
        <f>ROUND(54759.26+4300,2)</f>
        <v>59059.26</v>
      </c>
      <c r="H11" s="254">
        <f>ROUND(71793+5000,2)</f>
        <v>76793</v>
      </c>
      <c r="I11" s="424">
        <f>ROUND(73906.42+5000,2)</f>
        <v>78906.42</v>
      </c>
    </row>
    <row r="12" spans="1:10" x14ac:dyDescent="0.2">
      <c r="A12" s="253"/>
      <c r="B12" s="697">
        <v>1</v>
      </c>
      <c r="C12" s="254">
        <f>ROUND(49521.71+4300,2)</f>
        <v>53821.71</v>
      </c>
      <c r="D12" s="254">
        <f>ROUND(49897.53+4300,2)</f>
        <v>54197.53</v>
      </c>
      <c r="E12" s="254">
        <f>ROUND(49897.53+4300,2)</f>
        <v>54197.53</v>
      </c>
      <c r="F12" s="254">
        <f>ROUND(50273.34+4300,2)</f>
        <v>54573.34</v>
      </c>
      <c r="G12" s="254">
        <f>ROUND(51031.58+4300,2)</f>
        <v>55331.58</v>
      </c>
      <c r="H12" s="254">
        <f>ROUND(66401+5000,2)</f>
        <v>71401</v>
      </c>
      <c r="I12" s="424">
        <f>ROUND(70124.9+5000,2)</f>
        <v>75124.899999999994</v>
      </c>
    </row>
    <row r="13" spans="1:10" x14ac:dyDescent="0.2">
      <c r="A13" s="253"/>
      <c r="B13" s="696">
        <v>1.2</v>
      </c>
      <c r="C13" s="254">
        <f>ROUND(47665.56+4300,2)</f>
        <v>51965.56</v>
      </c>
      <c r="D13" s="254">
        <f>ROUND(48041.38+4300,2)</f>
        <v>52341.38</v>
      </c>
      <c r="E13" s="254">
        <f>ROUND(48041.38+4300,2)</f>
        <v>52341.38</v>
      </c>
      <c r="F13" s="254">
        <f>ROUND(48417.19+4300,2)</f>
        <v>52717.19</v>
      </c>
      <c r="G13" s="254">
        <f>ROUND(49159.12+4300,2)</f>
        <v>53459.12</v>
      </c>
      <c r="H13" s="254">
        <f>ROUND(63795.93+5000,2)</f>
        <v>68795.929999999993</v>
      </c>
      <c r="I13" s="424">
        <f>ROUND(64915.67+5000,2)</f>
        <v>69915.67</v>
      </c>
    </row>
    <row r="14" spans="1:10" x14ac:dyDescent="0.2">
      <c r="A14" s="253"/>
      <c r="B14" s="552">
        <v>1.4</v>
      </c>
      <c r="C14" s="254">
        <f>ROUND(47051.85+4300,2)</f>
        <v>51351.85</v>
      </c>
      <c r="D14" s="254">
        <f>ROUND(47427.66+4300,2)</f>
        <v>51727.66</v>
      </c>
      <c r="E14" s="254">
        <f>ROUND(47139.44+4300,2)</f>
        <v>51439.44</v>
      </c>
      <c r="F14" s="254">
        <f>ROUND(47515.25+4300,2)</f>
        <v>51815.25</v>
      </c>
      <c r="G14" s="254">
        <f>ROUND(47909.8+4300,2)</f>
        <v>52209.8</v>
      </c>
      <c r="H14" s="254">
        <f>ROUND(61821.99+5000,2)</f>
        <v>66821.990000000005</v>
      </c>
      <c r="I14" s="424">
        <f>ROUND(62483.68+5000,2)</f>
        <v>67483.679999999993</v>
      </c>
    </row>
    <row r="15" spans="1:10" x14ac:dyDescent="0.2">
      <c r="A15" s="253"/>
      <c r="B15" s="552">
        <v>1.5</v>
      </c>
      <c r="C15" s="254">
        <f>ROUND(47051.85+4300,2)</f>
        <v>51351.85</v>
      </c>
      <c r="D15" s="254">
        <f>ROUND(47427.66+4300,2)</f>
        <v>51727.66</v>
      </c>
      <c r="E15" s="254">
        <f>ROUND(47139.44+4300,2)</f>
        <v>51439.44</v>
      </c>
      <c r="F15" s="254">
        <f>ROUND(47515.25+4300,2)</f>
        <v>51815.25</v>
      </c>
      <c r="G15" s="254">
        <f>ROUND(47909.8+4300,2)</f>
        <v>52209.8</v>
      </c>
      <c r="H15" s="254">
        <f>ROUND(60304.65+5000,2)</f>
        <v>65304.65</v>
      </c>
      <c r="I15" s="424">
        <f>ROUND(61194.84+5000,2)</f>
        <v>66194.84</v>
      </c>
    </row>
    <row r="16" spans="1:10" x14ac:dyDescent="0.2">
      <c r="A16" s="253"/>
      <c r="B16" s="695">
        <v>1.6</v>
      </c>
      <c r="C16" s="254">
        <f>ROUND(46529.37+4300,2)</f>
        <v>50829.37</v>
      </c>
      <c r="D16" s="254">
        <f>ROUND(46905.18+4300,2)</f>
        <v>51205.18</v>
      </c>
      <c r="E16" s="254">
        <f>ROUND(46916.5+4300,2)</f>
        <v>51216.5</v>
      </c>
      <c r="F16" s="254">
        <f>ROUND(47292.32+4300,2)</f>
        <v>51592.32</v>
      </c>
      <c r="G16" s="254">
        <f>ROUND(47680.53+4300,2)</f>
        <v>51980.53</v>
      </c>
      <c r="H16" s="254">
        <f>ROUND(59518.67+5000,2)</f>
        <v>64518.67</v>
      </c>
      <c r="I16" s="424">
        <f>ROUND(60408.86+5000,2)</f>
        <v>65408.86</v>
      </c>
    </row>
    <row r="17" spans="1:9" x14ac:dyDescent="0.2">
      <c r="A17" s="253"/>
      <c r="B17" s="694">
        <v>1.8</v>
      </c>
      <c r="C17" s="254">
        <f>ROUND(46218.8+4300,2)</f>
        <v>50518.8</v>
      </c>
      <c r="D17" s="254">
        <f>ROUND(46594.61+4300,2)</f>
        <v>50894.61</v>
      </c>
      <c r="E17" s="254">
        <f>ROUND(46715.87+4300,2)</f>
        <v>51015.87</v>
      </c>
      <c r="F17" s="254">
        <f>ROUND(47091.31+4300,2)</f>
        <v>51391.31</v>
      </c>
      <c r="G17" s="254">
        <f>ROUND(47466.02+4300,2)</f>
        <v>51766.02</v>
      </c>
      <c r="H17" s="254">
        <f>ROUND(58940.21+5000,2)</f>
        <v>63940.21</v>
      </c>
      <c r="I17" s="424">
        <f>ROUND(59438.5+5000,2)</f>
        <v>64438.5</v>
      </c>
    </row>
    <row r="18" spans="1:9" x14ac:dyDescent="0.2">
      <c r="A18" s="253"/>
      <c r="B18" s="693">
        <v>2</v>
      </c>
      <c r="C18" s="254">
        <f>ROUND(46218.8+4300,2)</f>
        <v>50518.8</v>
      </c>
      <c r="D18" s="254">
        <f>ROUND(46594.61+4300,2)</f>
        <v>50894.61</v>
      </c>
      <c r="E18" s="254">
        <f>ROUND(46715.5+4300,2)</f>
        <v>51015.5</v>
      </c>
      <c r="F18" s="254">
        <f>ROUND(47091.31+4300,2)</f>
        <v>51391.31</v>
      </c>
      <c r="G18" s="254">
        <f>ROUND(47465.77+4300,2)</f>
        <v>51765.77</v>
      </c>
      <c r="H18" s="254">
        <f>ROUND(57957.74+5000,2)</f>
        <v>62957.74</v>
      </c>
      <c r="I18" s="424">
        <f>ROUND(58456.02+5000,2)</f>
        <v>63456.02</v>
      </c>
    </row>
    <row r="19" spans="1:9" x14ac:dyDescent="0.2">
      <c r="A19" s="253"/>
      <c r="B19" s="692">
        <v>2.5</v>
      </c>
      <c r="C19" s="254">
        <f>ROUND(43029.64+4300,2)</f>
        <v>47329.64</v>
      </c>
      <c r="D19" s="254">
        <f>ROUND(43394.51+4300,2)</f>
        <v>47694.51</v>
      </c>
      <c r="E19" s="254">
        <f>ROUND(44048.55+4300,2)</f>
        <v>48348.55</v>
      </c>
      <c r="F19" s="254">
        <f>ROUND(44413.42+4300,2)</f>
        <v>48713.42</v>
      </c>
      <c r="G19" s="254">
        <f>ROUND(44863.4+4300,2)</f>
        <v>49163.4</v>
      </c>
      <c r="H19" s="254">
        <f>ROUND(55848.54+5000,2)</f>
        <v>60848.54</v>
      </c>
      <c r="I19" s="424">
        <f>ROUND(57562.32+5000,2)</f>
        <v>62562.32</v>
      </c>
    </row>
    <row r="20" spans="1:9" x14ac:dyDescent="0.2">
      <c r="A20" s="253"/>
      <c r="B20" s="691">
        <v>4</v>
      </c>
      <c r="C20" s="254">
        <f>ROUND(42591.16+4300,2)</f>
        <v>46891.16</v>
      </c>
      <c r="D20" s="254">
        <f>ROUND(42956.03+4300,2)</f>
        <v>47256.03</v>
      </c>
      <c r="E20" s="254">
        <f>ROUND(43802.45+4300,2)</f>
        <v>48102.45</v>
      </c>
      <c r="F20" s="254">
        <f>ROUND(44167.32+4300,2)</f>
        <v>48467.32</v>
      </c>
      <c r="G20" s="254">
        <f>ROUND(44626.22+4300,2)</f>
        <v>48926.22</v>
      </c>
      <c r="H20" s="254">
        <f>ROUND(55226.01+5000,2)</f>
        <v>60226.01</v>
      </c>
      <c r="I20" s="424">
        <f>ROUND(56589.87+5000,2)</f>
        <v>61589.87</v>
      </c>
    </row>
    <row r="21" spans="1:9" x14ac:dyDescent="0.2">
      <c r="B21" s="690">
        <v>5</v>
      </c>
      <c r="C21" s="254">
        <f>ROUND(42591.16+4300,2)</f>
        <v>46891.16</v>
      </c>
      <c r="D21" s="254">
        <f>ROUND(42956.03+4300,2)</f>
        <v>47256.03</v>
      </c>
      <c r="E21" s="254">
        <f>ROUND(43802.45+4300,2)</f>
        <v>48102.45</v>
      </c>
      <c r="F21" s="254">
        <f>ROUND(44167.32+4300,2)</f>
        <v>48467.32</v>
      </c>
      <c r="G21" s="254">
        <f>ROUND(44626.22+4300,2)</f>
        <v>48926.22</v>
      </c>
      <c r="H21" s="254">
        <f>ROUND(55226.01+5000,2)</f>
        <v>60226.01</v>
      </c>
      <c r="I21" s="424">
        <f>ROUND(56589.87+5000,2)</f>
        <v>61589.87</v>
      </c>
    </row>
    <row r="22" spans="1:9" x14ac:dyDescent="0.2">
      <c r="B22" s="689">
        <v>6.1</v>
      </c>
      <c r="C22" s="254">
        <f>ROUND(42303.23+4300,2)</f>
        <v>46603.23</v>
      </c>
      <c r="D22" s="254"/>
      <c r="E22" s="254">
        <f>ROUND(43634.14+4300,2)</f>
        <v>47934.14</v>
      </c>
      <c r="F22" s="254">
        <f>ROUND(43999.01+4300,2)</f>
        <v>48299.01</v>
      </c>
      <c r="G22" s="254">
        <f>ROUND(44449.79+4300,2)</f>
        <v>48749.79</v>
      </c>
      <c r="H22" s="254">
        <f>ROUND(67125.72+5000,2)</f>
        <v>72125.72</v>
      </c>
      <c r="I22" s="424"/>
    </row>
    <row r="23" spans="1:9" x14ac:dyDescent="0.2">
      <c r="B23" s="552">
        <v>10</v>
      </c>
      <c r="C23" s="426">
        <f>ROUND(43376.29+4300,2)</f>
        <v>47676.29</v>
      </c>
      <c r="D23" s="426"/>
      <c r="E23" s="426">
        <f>ROUND(44706.98+4300,2)</f>
        <v>49006.98</v>
      </c>
      <c r="F23" s="426"/>
      <c r="G23" s="426"/>
      <c r="H23" s="426"/>
      <c r="I23" s="427"/>
    </row>
    <row r="24" spans="1:9" x14ac:dyDescent="0.2"/>
    <row r="25" spans="1:9" x14ac:dyDescent="0.2">
      <c r="B25" s="584" t="s">
        <v>421</v>
      </c>
      <c r="C25" s="585" t="s">
        <v>419</v>
      </c>
      <c r="D25" s="585" t="s">
        <v>420</v>
      </c>
      <c r="E25" s="585" t="s">
        <v>418</v>
      </c>
      <c r="F25" s="255"/>
    </row>
    <row r="26" spans="1:9" x14ac:dyDescent="0.2">
      <c r="B26" s="629" t="s">
        <v>423</v>
      </c>
      <c r="C26" s="579"/>
      <c r="D26" s="580"/>
      <c r="E26" s="256">
        <v>0.1</v>
      </c>
    </row>
    <row r="27" spans="1:9" ht="12.75" customHeight="1" x14ac:dyDescent="0.2">
      <c r="B27" s="809" t="s">
        <v>483</v>
      </c>
      <c r="C27" s="806"/>
      <c r="D27" s="807"/>
      <c r="E27" s="808">
        <v>7.0000000000000007E-2</v>
      </c>
    </row>
    <row r="28" spans="1:9" x14ac:dyDescent="0.2">
      <c r="B28" s="631" t="s">
        <v>425</v>
      </c>
      <c r="C28" s="579"/>
      <c r="D28" s="580"/>
      <c r="E28" s="583">
        <v>600</v>
      </c>
    </row>
    <row r="29" spans="1:9" x14ac:dyDescent="0.2">
      <c r="B29" s="630" t="s">
        <v>424</v>
      </c>
      <c r="C29" s="579"/>
      <c r="D29" s="580"/>
      <c r="E29" s="583">
        <v>1500</v>
      </c>
    </row>
    <row r="30" spans="1:9" ht="12.75" customHeight="1" x14ac:dyDescent="0.2">
      <c r="B30" s="632" t="s">
        <v>426</v>
      </c>
      <c r="C30" s="581"/>
      <c r="D30" s="582"/>
      <c r="E30" s="583">
        <v>3500</v>
      </c>
    </row>
    <row r="31" spans="1:9" x14ac:dyDescent="0.2"/>
    <row r="32" spans="1:9" ht="13.15" customHeight="1" x14ac:dyDescent="0.2">
      <c r="C32" s="248">
        <v>43332</v>
      </c>
      <c r="D32" s="257"/>
      <c r="F32" s="248">
        <v>43332</v>
      </c>
      <c r="I32" s="248">
        <v>43332</v>
      </c>
    </row>
    <row r="33" spans="2:9" ht="42" customHeight="1" x14ac:dyDescent="0.2">
      <c r="B33" s="817" t="s">
        <v>312</v>
      </c>
      <c r="C33" s="817"/>
      <c r="D33" s="162"/>
      <c r="E33" s="821" t="s">
        <v>313</v>
      </c>
      <c r="F33" s="821"/>
      <c r="H33" s="732" t="s">
        <v>130</v>
      </c>
      <c r="I33" s="258" t="s">
        <v>131</v>
      </c>
    </row>
    <row r="34" spans="2:9" ht="13.15" customHeight="1" x14ac:dyDescent="0.2">
      <c r="B34" s="433" t="s">
        <v>287</v>
      </c>
      <c r="C34" s="434" t="s">
        <v>368</v>
      </c>
      <c r="D34" s="251"/>
      <c r="E34" s="433" t="s">
        <v>287</v>
      </c>
      <c r="F34" s="434" t="s">
        <v>368</v>
      </c>
      <c r="H34" s="433" t="s">
        <v>287</v>
      </c>
      <c r="I34" s="434" t="s">
        <v>368</v>
      </c>
    </row>
    <row r="35" spans="2:9" x14ac:dyDescent="0.2">
      <c r="B35" s="431">
        <v>0.8</v>
      </c>
      <c r="C35" s="758">
        <f>ROUND(60056.94+4300,2)</f>
        <v>64356.94</v>
      </c>
      <c r="D35" s="253"/>
      <c r="E35" s="422">
        <v>1.4</v>
      </c>
      <c r="F35" s="254">
        <f>ROUND(61436.71+5000,2)</f>
        <v>66436.710000000006</v>
      </c>
      <c r="H35" s="636">
        <v>3.2</v>
      </c>
      <c r="I35" s="424">
        <f>ROUND(42587.28+4300,2)</f>
        <v>46887.28</v>
      </c>
    </row>
    <row r="36" spans="2:9" x14ac:dyDescent="0.2">
      <c r="B36" s="431">
        <v>0.9</v>
      </c>
      <c r="C36" s="758">
        <f>ROUND(57786.26+4300,2)</f>
        <v>62086.26</v>
      </c>
      <c r="D36" s="253"/>
      <c r="E36" s="422">
        <v>1.6</v>
      </c>
      <c r="F36" s="254">
        <f>ROUND(58874.14+5000,2)</f>
        <v>63874.14</v>
      </c>
      <c r="H36" s="13"/>
      <c r="I36" s="13"/>
    </row>
    <row r="37" spans="2:9" x14ac:dyDescent="0.2">
      <c r="B37" s="431">
        <v>1</v>
      </c>
      <c r="C37" s="758">
        <f>ROUND(55516.23+4300,2)</f>
        <v>59816.23</v>
      </c>
      <c r="D37" s="253"/>
      <c r="E37" s="425">
        <v>1.8</v>
      </c>
      <c r="F37" s="254">
        <f>ROUND(58611.44+5000,2)</f>
        <v>63611.44</v>
      </c>
      <c r="I37" s="259"/>
    </row>
    <row r="38" spans="2:9" x14ac:dyDescent="0.2">
      <c r="B38" s="432">
        <v>1.2</v>
      </c>
      <c r="C38" s="758">
        <f>ROUND(50218.64+4300,2)</f>
        <v>54518.64</v>
      </c>
      <c r="D38" s="253"/>
      <c r="I38" s="259"/>
    </row>
    <row r="39" spans="2:9" ht="13.15" customHeight="1" x14ac:dyDescent="0.2">
      <c r="B39" s="432">
        <v>1.5</v>
      </c>
      <c r="C39" s="758">
        <f>ROUND(49212.76+4300,2)</f>
        <v>53512.76</v>
      </c>
      <c r="D39" s="253"/>
    </row>
    <row r="40" spans="2:9" ht="13.15" customHeight="1" x14ac:dyDescent="0.2">
      <c r="B40" s="435">
        <v>1.8</v>
      </c>
      <c r="C40" s="759">
        <f>ROUND(48535.84+4300,2)</f>
        <v>52835.839999999997</v>
      </c>
      <c r="D40" s="248"/>
      <c r="E40" s="24"/>
      <c r="F40" s="24"/>
    </row>
    <row r="41" spans="2:9" x14ac:dyDescent="0.2">
      <c r="B41" s="251"/>
      <c r="C41" s="253"/>
      <c r="D41" s="260"/>
    </row>
    <row r="42" spans="2:9" x14ac:dyDescent="0.2">
      <c r="B42" s="23"/>
      <c r="D42" s="248">
        <v>43332</v>
      </c>
      <c r="I42" s="248">
        <v>43332</v>
      </c>
    </row>
    <row r="43" spans="2:9" ht="27.75" customHeight="1" x14ac:dyDescent="0.2">
      <c r="B43" s="811" t="s">
        <v>314</v>
      </c>
      <c r="C43" s="812"/>
      <c r="D43" s="813"/>
      <c r="H43" s="814" t="s">
        <v>315</v>
      </c>
      <c r="I43" s="815"/>
    </row>
    <row r="44" spans="2:9" ht="13.15" customHeight="1" x14ac:dyDescent="0.2">
      <c r="B44" s="438" t="s">
        <v>27</v>
      </c>
      <c r="C44" s="439" t="s">
        <v>77</v>
      </c>
      <c r="D44" s="440"/>
      <c r="H44" s="433" t="s">
        <v>287</v>
      </c>
      <c r="I44" s="434" t="s">
        <v>368</v>
      </c>
    </row>
    <row r="45" spans="2:9" ht="13.15" customHeight="1" x14ac:dyDescent="0.2">
      <c r="B45" s="421" t="s">
        <v>287</v>
      </c>
      <c r="C45" s="419" t="s">
        <v>370</v>
      </c>
      <c r="D45" s="437" t="s">
        <v>369</v>
      </c>
      <c r="H45" s="436">
        <v>5</v>
      </c>
      <c r="I45" s="427">
        <f>ROUND(37050+4300,2)</f>
        <v>41350</v>
      </c>
    </row>
    <row r="46" spans="2:9" ht="13.15" customHeight="1" x14ac:dyDescent="0.2">
      <c r="B46" s="553">
        <v>2.8</v>
      </c>
      <c r="C46" s="254">
        <f>ROUND(38550+4300,2)</f>
        <v>42850</v>
      </c>
      <c r="D46" s="254">
        <f>ROUND(39950+4300,2)</f>
        <v>44250</v>
      </c>
      <c r="F46" s="13"/>
      <c r="H46" s="635">
        <v>6</v>
      </c>
      <c r="I46" s="254">
        <f>ROUND(37350+4300,2)</f>
        <v>41650</v>
      </c>
    </row>
    <row r="47" spans="2:9" ht="13.15" customHeight="1" x14ac:dyDescent="0.2">
      <c r="B47" s="554">
        <v>3.5</v>
      </c>
      <c r="C47" s="254">
        <f>ROUND(37050+4300,2)</f>
        <v>41350</v>
      </c>
      <c r="D47" s="254">
        <f>ROUND(38450+4300,2)</f>
        <v>42750</v>
      </c>
      <c r="H47" s="13"/>
      <c r="I47" s="13"/>
    </row>
    <row r="48" spans="2:9" ht="13.15" customHeight="1" x14ac:dyDescent="0.2"/>
    <row r="49" spans="2:7" ht="13.15" customHeight="1" x14ac:dyDescent="0.2">
      <c r="E49" s="248">
        <v>43332</v>
      </c>
    </row>
    <row r="50" spans="2:7" x14ac:dyDescent="0.2">
      <c r="B50" s="19" t="s">
        <v>281</v>
      </c>
    </row>
    <row r="51" spans="2:7" x14ac:dyDescent="0.2">
      <c r="B51" s="433" t="s">
        <v>287</v>
      </c>
      <c r="C51" s="434" t="s">
        <v>368</v>
      </c>
      <c r="E51" s="262" t="s">
        <v>282</v>
      </c>
    </row>
    <row r="52" spans="2:7" x14ac:dyDescent="0.2">
      <c r="B52" s="555">
        <v>2.5</v>
      </c>
      <c r="C52" s="254">
        <f>ROUND(38550+4300,2)</f>
        <v>42850</v>
      </c>
    </row>
    <row r="53" spans="2:7" x14ac:dyDescent="0.2">
      <c r="B53" s="556">
        <v>3.5</v>
      </c>
      <c r="C53" s="254">
        <f>ROUND(37050+4300,2)</f>
        <v>41350</v>
      </c>
    </row>
    <row r="54" spans="2:7" x14ac:dyDescent="0.2"/>
    <row r="55" spans="2:7" x14ac:dyDescent="0.2">
      <c r="F55" s="248">
        <v>43332</v>
      </c>
      <c r="G55" s="261"/>
    </row>
    <row r="56" spans="2:7" x14ac:dyDescent="0.2">
      <c r="B56" s="64" t="s">
        <v>269</v>
      </c>
      <c r="F56" s="262" t="s">
        <v>268</v>
      </c>
    </row>
    <row r="57" spans="2:7" x14ac:dyDescent="0.2">
      <c r="B57" s="263" t="s">
        <v>27</v>
      </c>
      <c r="C57" s="264" t="s">
        <v>270</v>
      </c>
      <c r="D57" s="265"/>
      <c r="E57" s="264" t="s">
        <v>207</v>
      </c>
      <c r="F57" s="265"/>
    </row>
    <row r="58" spans="2:7" x14ac:dyDescent="0.2">
      <c r="B58" s="421" t="s">
        <v>287</v>
      </c>
      <c r="C58" s="441" t="s">
        <v>414</v>
      </c>
      <c r="D58" s="442" t="s">
        <v>415</v>
      </c>
      <c r="E58" s="441" t="s">
        <v>416</v>
      </c>
      <c r="F58" s="443" t="s">
        <v>417</v>
      </c>
    </row>
    <row r="59" spans="2:7" x14ac:dyDescent="0.2">
      <c r="B59" s="557">
        <v>2</v>
      </c>
      <c r="C59" s="254">
        <f t="shared" ref="C59" si="0">ROUND(73501.7+4300,2)</f>
        <v>77801.7</v>
      </c>
      <c r="D59" s="254">
        <f t="shared" ref="D59" si="1">ROUND(82586.3+4300,2)</f>
        <v>86886.3</v>
      </c>
      <c r="E59" s="254">
        <f>ROUND(81840.07+4300,2)</f>
        <v>86140.07</v>
      </c>
      <c r="F59" s="424">
        <f>ROUND(91378.9+4300,2)</f>
        <v>95678.9</v>
      </c>
    </row>
    <row r="60" spans="2:7" x14ac:dyDescent="0.2">
      <c r="B60" s="558">
        <v>2.9</v>
      </c>
      <c r="C60" s="426"/>
      <c r="D60" s="426"/>
      <c r="E60" s="426">
        <f>ROUND(81840.07+4300,2)</f>
        <v>86140.07</v>
      </c>
      <c r="F60" s="427">
        <f>ROUND(91378.9+4300,2)</f>
        <v>95678.9</v>
      </c>
    </row>
    <row r="61" spans="2:7" x14ac:dyDescent="0.2"/>
    <row r="62" spans="2:7" x14ac:dyDescent="0.2">
      <c r="B62" s="19" t="s">
        <v>187</v>
      </c>
    </row>
    <row r="63" spans="2:7" x14ac:dyDescent="0.2">
      <c r="B63" s="19" t="s">
        <v>188</v>
      </c>
    </row>
    <row r="64" spans="2:7" x14ac:dyDescent="0.2"/>
  </sheetData>
  <mergeCells count="8">
    <mergeCell ref="B43:D43"/>
    <mergeCell ref="H43:I43"/>
    <mergeCell ref="G2:I2"/>
    <mergeCell ref="B33:C33"/>
    <mergeCell ref="C5:D5"/>
    <mergeCell ref="B2:F2"/>
    <mergeCell ref="E5:F5"/>
    <mergeCell ref="E33:F33"/>
  </mergeCells>
  <phoneticPr fontId="0" type="noConversion"/>
  <hyperlinks>
    <hyperlink ref="J1" location="'2'!A1" display="Оглавление"/>
  </hyperlinks>
  <printOptions horizontalCentered="1"/>
  <pageMargins left="0.78740157480314965" right="0.78740157480314965" top="0.98425196850393704" bottom="0.98425196850393704" header="0.51181102362204722" footer="0.51181102362204722"/>
  <pageSetup paperSize="9" scale="79" orientation="portrait" r:id="rId1"/>
  <headerFooter alignWithMargins="0">
    <oddHeader>&amp;A</oddHeader>
  </headerFooter>
  <drawing r:id="rId2"/>
  <tableParts count="9"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autoPageBreaks="0"/>
  </sheetPr>
  <dimension ref="B1:I42"/>
  <sheetViews>
    <sheetView showGridLines="0" showRowColHeaders="0" view="pageBreakPreview" topLeftCell="A25" zoomScaleNormal="100" zoomScaleSheetLayoutView="100" workbookViewId="0"/>
  </sheetViews>
  <sheetFormatPr defaultColWidth="8.85546875" defaultRowHeight="12.75" x14ac:dyDescent="0.2"/>
  <cols>
    <col min="1" max="1" width="5.7109375" style="44" customWidth="1"/>
    <col min="2" max="2" width="14.7109375" style="44" customWidth="1"/>
    <col min="3" max="4" width="12.7109375" style="44" customWidth="1"/>
    <col min="5" max="5" width="8.7109375" style="44" customWidth="1"/>
    <col min="6" max="6" width="11.28515625" style="44" customWidth="1"/>
    <col min="7" max="8" width="12.7109375" style="44" customWidth="1"/>
    <col min="9" max="9" width="12.85546875" style="44" customWidth="1"/>
    <col min="10" max="16384" width="8.85546875" style="44"/>
  </cols>
  <sheetData>
    <row r="1" spans="2:9" x14ac:dyDescent="0.2">
      <c r="B1" s="4"/>
      <c r="C1" s="2">
        <v>43332</v>
      </c>
      <c r="F1" s="6"/>
      <c r="G1" s="6"/>
      <c r="H1" s="2">
        <v>43332</v>
      </c>
      <c r="I1" s="31" t="s">
        <v>162</v>
      </c>
    </row>
    <row r="2" spans="2:9" x14ac:dyDescent="0.2">
      <c r="B2" s="4"/>
      <c r="C2" s="453" t="s">
        <v>62</v>
      </c>
      <c r="F2" s="6"/>
      <c r="G2" s="6"/>
      <c r="H2" s="453" t="s">
        <v>213</v>
      </c>
      <c r="I2" s="31"/>
    </row>
    <row r="3" spans="2:9" ht="25.5" x14ac:dyDescent="0.2">
      <c r="B3" s="445" t="s">
        <v>61</v>
      </c>
      <c r="C3" s="457"/>
      <c r="E3" s="462" t="s">
        <v>214</v>
      </c>
      <c r="F3" s="460"/>
      <c r="G3" s="460"/>
      <c r="H3" s="461"/>
    </row>
    <row r="4" spans="2:9" ht="13.15" customHeight="1" x14ac:dyDescent="0.2">
      <c r="B4" s="450" t="s">
        <v>287</v>
      </c>
      <c r="C4" s="434" t="s">
        <v>368</v>
      </c>
      <c r="F4" s="458"/>
      <c r="G4" s="450" t="s">
        <v>287</v>
      </c>
      <c r="H4" s="434" t="s">
        <v>368</v>
      </c>
    </row>
    <row r="5" spans="2:9" ht="15" customHeight="1" x14ac:dyDescent="0.2">
      <c r="B5" s="449">
        <v>0.5</v>
      </c>
      <c r="C5" s="786">
        <f>ROUND(130432.53+4300,2)</f>
        <v>134732.53</v>
      </c>
      <c r="E5" s="55"/>
      <c r="F5" s="459"/>
      <c r="G5" s="444">
        <v>0.8</v>
      </c>
      <c r="H5" s="796">
        <f>ROUND(144599.31+4300,2)</f>
        <v>148899.31</v>
      </c>
      <c r="I5" s="69"/>
    </row>
    <row r="6" spans="2:9" x14ac:dyDescent="0.2">
      <c r="B6" s="449">
        <v>0.6</v>
      </c>
      <c r="C6" s="786">
        <f>ROUND(120790.86+4300,2)</f>
        <v>125090.86</v>
      </c>
      <c r="E6" s="55"/>
      <c r="F6" s="459"/>
      <c r="G6" s="444">
        <v>1.2</v>
      </c>
      <c r="H6" s="796">
        <f>ROUND(93563.09+4300,2)</f>
        <v>97863.09</v>
      </c>
    </row>
    <row r="7" spans="2:9" x14ac:dyDescent="0.2">
      <c r="B7" s="449">
        <v>0.7</v>
      </c>
      <c r="C7" s="786">
        <f>ROUND(107337.11+4300,2)</f>
        <v>111637.11</v>
      </c>
      <c r="E7" s="55"/>
      <c r="F7" s="459"/>
      <c r="G7" s="444">
        <v>1.4</v>
      </c>
      <c r="H7" s="796">
        <f>ROUND(90785.15+4300,2)</f>
        <v>95085.15</v>
      </c>
    </row>
    <row r="8" spans="2:9" x14ac:dyDescent="0.2">
      <c r="B8" s="449">
        <v>0.8</v>
      </c>
      <c r="C8" s="786">
        <f>ROUND(102542.83+4300,2)</f>
        <v>106842.83</v>
      </c>
      <c r="E8" s="55"/>
      <c r="F8" s="459"/>
      <c r="G8" s="444">
        <v>1.6</v>
      </c>
      <c r="H8" s="796">
        <f>ROUND(84385.72+4300,2)</f>
        <v>88685.72</v>
      </c>
    </row>
    <row r="9" spans="2:9" ht="13.5" customHeight="1" x14ac:dyDescent="0.2">
      <c r="B9" s="449">
        <v>0.9</v>
      </c>
      <c r="C9" s="786">
        <f>ROUND(98550.23+4300,2)</f>
        <v>102850.23</v>
      </c>
      <c r="E9" s="55"/>
      <c r="F9" s="459"/>
      <c r="G9" s="559">
        <v>1.8</v>
      </c>
      <c r="H9" s="796">
        <f>ROUND(82725.54+4300,2)</f>
        <v>87025.54</v>
      </c>
    </row>
    <row r="10" spans="2:9" ht="12.75" customHeight="1" x14ac:dyDescent="0.2">
      <c r="B10" s="449">
        <v>1</v>
      </c>
      <c r="C10" s="786">
        <f>ROUND(95539.87+4300,2)</f>
        <v>99839.87</v>
      </c>
      <c r="E10" s="55"/>
      <c r="F10" s="459"/>
      <c r="G10" s="560">
        <v>2.5</v>
      </c>
      <c r="H10" s="796">
        <f>ROUND(81983.89+4300,2)</f>
        <v>86283.89</v>
      </c>
    </row>
    <row r="11" spans="2:9" ht="13.9" customHeight="1" x14ac:dyDescent="0.2">
      <c r="B11" s="449">
        <v>1.2</v>
      </c>
      <c r="C11" s="786">
        <f>ROUND(91174.27+4300,2)</f>
        <v>95474.27</v>
      </c>
      <c r="E11" s="55"/>
      <c r="F11" s="459"/>
      <c r="G11" s="475">
        <v>4</v>
      </c>
      <c r="H11" s="797">
        <f>ROUND(80467.64+4300,2)</f>
        <v>84767.64</v>
      </c>
    </row>
    <row r="12" spans="2:9" ht="13.15" customHeight="1" x14ac:dyDescent="0.2">
      <c r="B12" s="451">
        <v>1.6</v>
      </c>
      <c r="C12" s="788">
        <f>ROUND(89334.73+4300,2)</f>
        <v>93634.73</v>
      </c>
      <c r="E12" s="55"/>
      <c r="F12" s="84"/>
      <c r="G12" s="84"/>
      <c r="H12" s="85"/>
    </row>
    <row r="13" spans="2:9" ht="13.15" customHeight="1" x14ac:dyDescent="0.2">
      <c r="B13" s="13"/>
      <c r="C13" s="13"/>
      <c r="D13" s="13"/>
      <c r="E13" s="55"/>
    </row>
    <row r="14" spans="2:9" ht="13.15" customHeight="1" x14ac:dyDescent="0.2">
      <c r="B14" s="10"/>
      <c r="C14" s="10"/>
      <c r="D14" s="11"/>
      <c r="E14" s="55"/>
    </row>
    <row r="15" spans="2:9" x14ac:dyDescent="0.2">
      <c r="B15" s="544">
        <v>43332</v>
      </c>
      <c r="C15" s="6"/>
      <c r="F15" s="6"/>
      <c r="G15" s="6"/>
      <c r="H15" s="2">
        <v>43332</v>
      </c>
    </row>
    <row r="16" spans="2:9" ht="15.75" customHeight="1" x14ac:dyDescent="0.2">
      <c r="B16" s="543" t="s">
        <v>65</v>
      </c>
      <c r="C16" s="6"/>
      <c r="D16" s="453"/>
      <c r="F16" s="6"/>
      <c r="G16" s="6"/>
      <c r="H16" s="453" t="s">
        <v>64</v>
      </c>
    </row>
    <row r="17" spans="2:9" x14ac:dyDescent="0.2">
      <c r="B17" s="6" t="s">
        <v>377</v>
      </c>
      <c r="C17" s="541"/>
      <c r="D17" s="463"/>
      <c r="F17" s="6"/>
      <c r="G17" s="6"/>
      <c r="H17" s="463" t="s">
        <v>371</v>
      </c>
    </row>
    <row r="18" spans="2:9" x14ac:dyDescent="0.2">
      <c r="B18" s="4" t="s">
        <v>378</v>
      </c>
      <c r="C18" s="542"/>
      <c r="D18" s="471"/>
      <c r="F18" s="452"/>
      <c r="G18" s="454"/>
      <c r="H18" s="464" t="s">
        <v>372</v>
      </c>
    </row>
    <row r="19" spans="2:9" x14ac:dyDescent="0.2">
      <c r="B19" s="476" t="s">
        <v>287</v>
      </c>
      <c r="C19" s="434" t="s">
        <v>368</v>
      </c>
      <c r="D19" s="62"/>
      <c r="F19" s="455"/>
      <c r="G19" s="476" t="s">
        <v>287</v>
      </c>
      <c r="H19" s="434" t="s">
        <v>368</v>
      </c>
    </row>
    <row r="20" spans="2:9" ht="13.15" customHeight="1" x14ac:dyDescent="0.2">
      <c r="B20" s="446">
        <v>1.4</v>
      </c>
      <c r="C20" s="786">
        <f>ROUND(130669.15+4300,2)</f>
        <v>134969.15</v>
      </c>
      <c r="F20" s="456"/>
      <c r="G20" s="417">
        <v>2</v>
      </c>
      <c r="H20" s="786">
        <f>ROUND(106044.07+4300,2)</f>
        <v>110344.07</v>
      </c>
      <c r="I20" s="62"/>
    </row>
    <row r="21" spans="2:9" x14ac:dyDescent="0.2">
      <c r="B21" s="446">
        <v>2</v>
      </c>
      <c r="C21" s="786">
        <f>ROUND(114827.08+4300,2)</f>
        <v>119127.08</v>
      </c>
      <c r="F21" s="456"/>
      <c r="G21" s="417">
        <v>2.5</v>
      </c>
      <c r="H21" s="786">
        <f>ROUND(95455.68+4300,2)</f>
        <v>99755.68</v>
      </c>
      <c r="I21" s="11"/>
    </row>
    <row r="22" spans="2:9" x14ac:dyDescent="0.2">
      <c r="B22" s="477">
        <v>2.5</v>
      </c>
      <c r="C22" s="788">
        <f>ROUND(100924.24+4300,2)</f>
        <v>105224.24</v>
      </c>
      <c r="F22" s="456"/>
      <c r="G22" s="417">
        <v>3</v>
      </c>
      <c r="H22" s="786">
        <f>ROUND(93548.11+4300,2)</f>
        <v>97848.11</v>
      </c>
      <c r="I22" s="11"/>
    </row>
    <row r="23" spans="2:9" x14ac:dyDescent="0.2">
      <c r="F23" s="456"/>
      <c r="G23" s="561">
        <v>4</v>
      </c>
      <c r="H23" s="788">
        <f>ROUND(89461.44+4300,2)</f>
        <v>93761.44</v>
      </c>
      <c r="I23" s="11"/>
    </row>
    <row r="24" spans="2:9" x14ac:dyDescent="0.2">
      <c r="F24" s="13"/>
      <c r="G24" s="13"/>
      <c r="H24" s="13"/>
      <c r="I24" s="11"/>
    </row>
    <row r="25" spans="2:9" x14ac:dyDescent="0.2">
      <c r="I25" s="11"/>
    </row>
    <row r="26" spans="2:9" x14ac:dyDescent="0.2">
      <c r="B26" s="60"/>
      <c r="C26" s="61"/>
      <c r="D26" s="2">
        <v>43332</v>
      </c>
      <c r="F26" s="13"/>
      <c r="G26" s="13"/>
      <c r="H26" s="2">
        <v>43332</v>
      </c>
      <c r="I26" s="62"/>
    </row>
    <row r="27" spans="2:9" ht="25.9" customHeight="1" x14ac:dyDescent="0.2">
      <c r="B27" s="447" t="s">
        <v>199</v>
      </c>
      <c r="C27" s="448"/>
      <c r="D27" s="140" t="s">
        <v>196</v>
      </c>
      <c r="F27" s="465" t="s">
        <v>373</v>
      </c>
      <c r="G27" s="466"/>
      <c r="H27" s="428" t="s">
        <v>50</v>
      </c>
    </row>
    <row r="28" spans="2:9" ht="14.25" customHeight="1" x14ac:dyDescent="0.2">
      <c r="B28" s="480"/>
      <c r="C28" s="447" t="s">
        <v>376</v>
      </c>
      <c r="D28" s="448"/>
      <c r="F28" s="483"/>
      <c r="G28" s="467" t="s">
        <v>77</v>
      </c>
      <c r="H28" s="468"/>
    </row>
    <row r="29" spans="2:9" ht="14.25" customHeight="1" x14ac:dyDescent="0.2">
      <c r="B29" s="481" t="s">
        <v>287</v>
      </c>
      <c r="C29" s="474" t="s">
        <v>412</v>
      </c>
      <c r="D29" s="482" t="s">
        <v>413</v>
      </c>
      <c r="F29" s="484" t="s">
        <v>287</v>
      </c>
      <c r="G29" s="474" t="s">
        <v>412</v>
      </c>
      <c r="H29" s="482" t="s">
        <v>413</v>
      </c>
    </row>
    <row r="30" spans="2:9" s="6" customFormat="1" ht="13.15" customHeight="1" x14ac:dyDescent="0.2">
      <c r="B30" s="564">
        <v>2.8</v>
      </c>
      <c r="C30" s="798">
        <f>ROUND(62166.03+4300,2)</f>
        <v>66466.03</v>
      </c>
      <c r="D30" s="799">
        <f>ROUND(67342.27+4300,2)</f>
        <v>71642.27</v>
      </c>
      <c r="F30" s="485">
        <v>0.7</v>
      </c>
      <c r="G30" s="113"/>
      <c r="H30" s="487">
        <f>ROUND(137303.1+4300,2)</f>
        <v>141603.1</v>
      </c>
      <c r="I30" s="13"/>
    </row>
    <row r="31" spans="2:9" s="6" customFormat="1" ht="13.15" customHeight="1" x14ac:dyDescent="0.2">
      <c r="F31" s="485">
        <v>0.8</v>
      </c>
      <c r="G31" s="113">
        <f>ROUND(84024.77+4300,2)</f>
        <v>88324.77</v>
      </c>
      <c r="H31" s="487">
        <f>ROUND(122801.29+4300,2)</f>
        <v>127101.29</v>
      </c>
      <c r="I31" s="13"/>
    </row>
    <row r="32" spans="2:9" s="6" customFormat="1" ht="13.15" customHeight="1" x14ac:dyDescent="0.2">
      <c r="D32" s="2">
        <v>43332</v>
      </c>
      <c r="F32" s="486">
        <v>1</v>
      </c>
      <c r="G32" s="113">
        <f>ROUND(77565.31+4300,2)</f>
        <v>81865.31</v>
      </c>
      <c r="H32" s="487">
        <f>ROUND(112359.47+4300,2)</f>
        <v>116659.47</v>
      </c>
      <c r="I32" s="13"/>
    </row>
    <row r="33" spans="2:9" s="6" customFormat="1" ht="13.15" customHeight="1" x14ac:dyDescent="0.2">
      <c r="B33" s="4"/>
      <c r="C33" s="470"/>
      <c r="D33" s="471" t="s">
        <v>374</v>
      </c>
      <c r="F33" s="485">
        <v>1.2</v>
      </c>
      <c r="G33" s="113">
        <f>ROUND(75688.43+4300,2)</f>
        <v>79988.429999999993</v>
      </c>
      <c r="H33" s="487">
        <f>ROUND(102631.92+4300,2)</f>
        <v>106931.92</v>
      </c>
      <c r="I33" s="13"/>
    </row>
    <row r="34" spans="2:9" s="6" customFormat="1" ht="13.15" customHeight="1" x14ac:dyDescent="0.2">
      <c r="B34" s="469"/>
      <c r="C34" s="472"/>
      <c r="D34" s="473" t="s">
        <v>375</v>
      </c>
      <c r="E34" s="13"/>
      <c r="F34" s="418">
        <v>1.4</v>
      </c>
      <c r="G34" s="113">
        <f>ROUND(74618.4+4300,2)</f>
        <v>78918.399999999994</v>
      </c>
      <c r="H34" s="487">
        <f>ROUND(97718.51+4300,2)</f>
        <v>102018.51</v>
      </c>
      <c r="I34" s="13"/>
    </row>
    <row r="35" spans="2:9" s="6" customFormat="1" ht="13.15" customHeight="1" x14ac:dyDescent="0.2">
      <c r="B35" s="458"/>
      <c r="C35" s="479" t="s">
        <v>287</v>
      </c>
      <c r="D35" s="434" t="s">
        <v>413</v>
      </c>
      <c r="E35" s="13"/>
      <c r="F35" s="562">
        <v>1.5</v>
      </c>
      <c r="G35" s="113">
        <f>ROUND(73135.75+4300,2)</f>
        <v>77435.75</v>
      </c>
      <c r="H35" s="487">
        <f>ROUND(92520.6+4300,2)</f>
        <v>96820.6</v>
      </c>
      <c r="I35" s="13"/>
    </row>
    <row r="36" spans="2:9" s="6" customFormat="1" ht="13.15" customHeight="1" x14ac:dyDescent="0.2">
      <c r="B36" s="40"/>
      <c r="C36" s="563">
        <v>2.5</v>
      </c>
      <c r="D36" s="799">
        <f>ROUND(79373.45+4300,2)</f>
        <v>83673.45</v>
      </c>
      <c r="E36" s="13"/>
      <c r="F36" s="485">
        <v>1.8</v>
      </c>
      <c r="G36" s="113"/>
      <c r="H36" s="487">
        <f>ROUND(89686.96+4300,2)</f>
        <v>93986.96</v>
      </c>
      <c r="I36" s="13"/>
    </row>
    <row r="37" spans="2:9" s="6" customFormat="1" ht="13.15" customHeight="1" x14ac:dyDescent="0.2">
      <c r="B37" s="13"/>
      <c r="E37" s="13"/>
      <c r="F37" s="418">
        <v>2</v>
      </c>
      <c r="G37" s="113">
        <f>ROUND(71653.36+4300,2)</f>
        <v>75953.36</v>
      </c>
      <c r="H37" s="487">
        <f>ROUND(86998.03+4300,2)</f>
        <v>91298.03</v>
      </c>
      <c r="I37" s="13"/>
    </row>
    <row r="38" spans="2:9" s="6" customFormat="1" ht="13.15" customHeight="1" x14ac:dyDescent="0.2">
      <c r="E38" s="13"/>
      <c r="F38" s="485">
        <v>2.2000000000000002</v>
      </c>
      <c r="G38" s="113">
        <f>ROUND(71560.34+4300,2)</f>
        <v>75860.34</v>
      </c>
      <c r="H38" s="487">
        <f>ROUND(82543+4300,2)</f>
        <v>86843</v>
      </c>
      <c r="I38" s="13"/>
    </row>
    <row r="39" spans="2:9" s="6" customFormat="1" ht="13.15" customHeight="1" x14ac:dyDescent="0.2">
      <c r="B39" s="13"/>
      <c r="C39" s="13"/>
      <c r="D39" s="1"/>
      <c r="F39" s="485">
        <v>2.6</v>
      </c>
      <c r="G39" s="113">
        <f>ROUND(71282.81+4300,2)</f>
        <v>75582.81</v>
      </c>
      <c r="H39" s="487">
        <f>ROUND(79130.79+4300,2)</f>
        <v>83430.789999999994</v>
      </c>
      <c r="I39" s="13"/>
    </row>
    <row r="40" spans="2:9" s="6" customFormat="1" x14ac:dyDescent="0.2">
      <c r="B40" s="13"/>
      <c r="C40" s="13"/>
      <c r="D40" s="13"/>
      <c r="E40" s="59"/>
      <c r="F40" s="485">
        <v>3</v>
      </c>
      <c r="G40" s="113">
        <f>ROUND(71023.82+4300,2)</f>
        <v>75323.820000000007</v>
      </c>
      <c r="H40" s="487">
        <f>ROUND(77875.06+4300,2)</f>
        <v>82175.06</v>
      </c>
      <c r="I40" s="13"/>
    </row>
    <row r="41" spans="2:9" s="6" customFormat="1" x14ac:dyDescent="0.2">
      <c r="B41" s="13"/>
      <c r="C41" s="13"/>
      <c r="D41" s="13"/>
      <c r="F41" s="488">
        <v>4</v>
      </c>
      <c r="G41" s="787">
        <f>ROUND(70488.05+4300,2)</f>
        <v>74788.05</v>
      </c>
      <c r="H41" s="789">
        <f>ROUND(75050.52+4300,2)</f>
        <v>79350.52</v>
      </c>
      <c r="I41" s="13"/>
    </row>
    <row r="42" spans="2:9" s="6" customFormat="1" x14ac:dyDescent="0.2">
      <c r="B42" s="13"/>
      <c r="C42" s="13"/>
      <c r="D42" s="13"/>
      <c r="F42" s="44"/>
      <c r="G42" s="44"/>
      <c r="H42" s="44"/>
    </row>
  </sheetData>
  <phoneticPr fontId="23" type="noConversion"/>
  <conditionalFormatting sqref="E40">
    <cfRule type="cellIs" dxfId="609" priority="1" stopIfTrue="1" operator="equal">
      <formula>0</formula>
    </cfRule>
  </conditionalFormatting>
  <hyperlinks>
    <hyperlink ref="I1" location="'2'!A1" display="Оглавление"/>
  </hyperlinks>
  <printOptions horizontalCentered="1"/>
  <pageMargins left="0.59055118110236227" right="0.55118110236220474" top="0.9055118110236221" bottom="0.82677165354330717" header="0.51181102362204722" footer="0.51181102362204722"/>
  <pageSetup paperSize="9" scale="85" orientation="portrait" r:id="rId1"/>
  <headerFooter alignWithMargins="0">
    <oddHeader>&amp;A</oddHeader>
  </headerFooter>
  <drawing r:id="rId2"/>
  <tableParts count="7">
    <tablePart r:id="rId3"/>
    <tablePart r:id="rId4"/>
    <tablePart r:id="rId5"/>
    <tablePart r:id="rId6"/>
    <tablePart r:id="rId7"/>
    <tablePart r:id="rId8"/>
    <tablePart r:id="rId9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2"/>
  <sheetViews>
    <sheetView showGridLines="0" showRowColHeaders="0" view="pageBreakPreview" zoomScaleNormal="75" zoomScaleSheetLayoutView="100" workbookViewId="0">
      <pane ySplit="6" topLeftCell="A61" activePane="bottomLeft" state="frozen"/>
      <selection pane="bottomLeft"/>
    </sheetView>
  </sheetViews>
  <sheetFormatPr defaultColWidth="8.85546875" defaultRowHeight="12.75" x14ac:dyDescent="0.2"/>
  <cols>
    <col min="1" max="1" width="5.7109375" style="13" customWidth="1"/>
    <col min="2" max="3" width="16.7109375" style="13" customWidth="1"/>
    <col min="4" max="4" width="17.140625" style="13" customWidth="1"/>
    <col min="5" max="6" width="16.5703125" style="13" customWidth="1"/>
    <col min="7" max="16384" width="8.85546875" style="13"/>
  </cols>
  <sheetData>
    <row r="1" spans="1:6" s="1" customFormat="1" ht="13.9" customHeight="1" x14ac:dyDescent="0.2">
      <c r="A1" s="13"/>
      <c r="E1" s="643">
        <v>43348</v>
      </c>
      <c r="F1" s="31" t="s">
        <v>162</v>
      </c>
    </row>
    <row r="2" spans="1:6" s="1" customFormat="1" ht="13.9" customHeight="1" x14ac:dyDescent="0.2">
      <c r="A2" s="13"/>
      <c r="B2" s="496" t="s">
        <v>316</v>
      </c>
      <c r="C2" s="497"/>
      <c r="D2" s="498"/>
      <c r="E2" s="13"/>
      <c r="F2" s="13"/>
    </row>
    <row r="3" spans="1:6" s="54" customFormat="1" ht="24.6" customHeight="1" x14ac:dyDescent="0.2">
      <c r="A3" s="13"/>
      <c r="B3" s="445" t="s">
        <v>174</v>
      </c>
      <c r="C3" s="492"/>
      <c r="D3" s="493"/>
      <c r="E3" s="13"/>
      <c r="F3" s="13"/>
    </row>
    <row r="4" spans="1:6" s="54" customFormat="1" x14ac:dyDescent="0.2">
      <c r="A4" s="13"/>
      <c r="B4" s="545"/>
      <c r="C4" s="494" t="s">
        <v>271</v>
      </c>
      <c r="D4" s="495"/>
      <c r="E4" s="13"/>
      <c r="F4" s="13"/>
    </row>
    <row r="5" spans="1:6" s="1" customFormat="1" x14ac:dyDescent="0.2">
      <c r="A5" s="13"/>
      <c r="B5" s="546"/>
      <c r="C5" s="445" t="s">
        <v>77</v>
      </c>
      <c r="D5" s="493"/>
      <c r="E5" s="13"/>
      <c r="F5" s="13"/>
    </row>
    <row r="6" spans="1:6" s="1" customFormat="1" ht="25.5" x14ac:dyDescent="0.2">
      <c r="A6" s="13"/>
      <c r="B6" s="547" t="s">
        <v>287</v>
      </c>
      <c r="C6" s="548" t="s">
        <v>379</v>
      </c>
      <c r="D6" s="501" t="s">
        <v>380</v>
      </c>
      <c r="E6" s="13"/>
      <c r="F6" s="13"/>
    </row>
    <row r="7" spans="1:6" s="1" customFormat="1" x14ac:dyDescent="0.2">
      <c r="A7" s="13"/>
      <c r="B7" s="549">
        <v>0.2</v>
      </c>
      <c r="C7" s="790">
        <f>ROUND(181663.59+5000,2)</f>
        <v>186663.59</v>
      </c>
      <c r="D7" s="790">
        <f>ROUND(148904.58+5000,2)</f>
        <v>153904.57999999999</v>
      </c>
      <c r="E7" s="13"/>
      <c r="F7" s="13"/>
    </row>
    <row r="8" spans="1:6" s="1" customFormat="1" x14ac:dyDescent="0.2">
      <c r="A8" s="13"/>
      <c r="B8" s="500">
        <v>0.22</v>
      </c>
      <c r="C8" s="790">
        <f>ROUND(174754.68+5000,2)</f>
        <v>179754.68</v>
      </c>
      <c r="D8" s="790">
        <f>ROUND(143241.54+5000,2)</f>
        <v>148241.54</v>
      </c>
      <c r="E8" s="13"/>
      <c r="F8" s="13"/>
    </row>
    <row r="9" spans="1:6" s="1" customFormat="1" x14ac:dyDescent="0.2">
      <c r="A9" s="13"/>
      <c r="B9" s="500">
        <v>0.25</v>
      </c>
      <c r="C9" s="790">
        <f>ROUND(160966.09+5000,2)</f>
        <v>165966.09</v>
      </c>
      <c r="D9" s="790">
        <f>ROUND(131939.42+5000,2)</f>
        <v>136939.42000000001</v>
      </c>
      <c r="E9" s="13"/>
      <c r="F9" s="13"/>
    </row>
    <row r="10" spans="1:6" s="1" customFormat="1" x14ac:dyDescent="0.2">
      <c r="A10" s="13"/>
      <c r="B10" s="500">
        <v>0.3</v>
      </c>
      <c r="C10" s="790">
        <f>ROUND(151788.58+5000,2)</f>
        <v>156788.57999999999</v>
      </c>
      <c r="D10" s="790">
        <f>ROUND(124416.87+5000,2)</f>
        <v>129416.87</v>
      </c>
      <c r="E10" s="13"/>
      <c r="F10" s="13"/>
    </row>
    <row r="11" spans="1:6" s="1" customFormat="1" x14ac:dyDescent="0.2">
      <c r="A11" s="13"/>
      <c r="B11" s="500">
        <v>0.32</v>
      </c>
      <c r="C11" s="790">
        <f>ROUND(149611.77+5000,2)</f>
        <v>154611.76999999999</v>
      </c>
      <c r="D11" s="790">
        <f>ROUND(122632.6+5000,2)</f>
        <v>127632.6</v>
      </c>
      <c r="E11" s="13"/>
      <c r="F11" s="13"/>
    </row>
    <row r="12" spans="1:6" s="1" customFormat="1" x14ac:dyDescent="0.2">
      <c r="A12" s="13"/>
      <c r="B12" s="500">
        <v>0.35</v>
      </c>
      <c r="C12" s="790">
        <f>ROUND(144601.37+5000,2)</f>
        <v>149601.37</v>
      </c>
      <c r="D12" s="791">
        <f>ROUND(118525.71+5000,2)</f>
        <v>123525.71</v>
      </c>
      <c r="E12" s="13"/>
      <c r="F12" s="13"/>
    </row>
    <row r="13" spans="1:6" s="1" customFormat="1" x14ac:dyDescent="0.2">
      <c r="A13" s="13"/>
      <c r="B13" s="500">
        <v>0.36</v>
      </c>
      <c r="C13" s="791">
        <f>ROUND(136747.26+5000,2)</f>
        <v>141747.26</v>
      </c>
      <c r="D13" s="791">
        <f>ROUND(113956.05+5000,2)</f>
        <v>118956.05</v>
      </c>
      <c r="E13" s="13"/>
      <c r="F13" s="13"/>
    </row>
    <row r="14" spans="1:6" s="1" customFormat="1" x14ac:dyDescent="0.2">
      <c r="A14" s="13"/>
      <c r="B14" s="500">
        <v>0.4</v>
      </c>
      <c r="C14" s="791">
        <f>ROUND(127434.19+5000,2)</f>
        <v>132434.19</v>
      </c>
      <c r="D14" s="791">
        <f>ROUND(106195.16+5000,2)</f>
        <v>111195.16</v>
      </c>
      <c r="E14" s="13"/>
      <c r="F14" s="13"/>
    </row>
    <row r="15" spans="1:6" s="1" customFormat="1" x14ac:dyDescent="0.2">
      <c r="A15" s="13"/>
      <c r="B15" s="500">
        <v>0.45</v>
      </c>
      <c r="C15" s="791">
        <f>ROUND(118298.03+5000,2)</f>
        <v>123298.03</v>
      </c>
      <c r="D15" s="791">
        <f>ROUND(98581.69+5000,2)</f>
        <v>103581.69</v>
      </c>
      <c r="E15" s="13"/>
      <c r="F15" s="13"/>
    </row>
    <row r="16" spans="1:6" s="1" customFormat="1" x14ac:dyDescent="0.2">
      <c r="A16" s="13"/>
      <c r="B16" s="500">
        <v>0.5</v>
      </c>
      <c r="C16" s="791">
        <f>ROUND(111361.98+5000,2)</f>
        <v>116361.98</v>
      </c>
      <c r="D16" s="791">
        <f>ROUND(92801.65+5000,2)</f>
        <v>97801.65</v>
      </c>
      <c r="E16" s="13"/>
      <c r="F16" s="13"/>
    </row>
    <row r="17" spans="1:6" s="1" customFormat="1" x14ac:dyDescent="0.2">
      <c r="A17" s="13"/>
      <c r="B17" s="500">
        <v>0.6</v>
      </c>
      <c r="C17" s="791">
        <f>ROUND(101851.32+5000,2)</f>
        <v>106851.32</v>
      </c>
      <c r="D17" s="791">
        <f>ROUND(84876.1+5000,2)</f>
        <v>89876.1</v>
      </c>
      <c r="E17" s="13"/>
      <c r="F17" s="13"/>
    </row>
    <row r="18" spans="1:6" s="1" customFormat="1" x14ac:dyDescent="0.2">
      <c r="A18" s="13"/>
      <c r="B18" s="500">
        <v>0.63</v>
      </c>
      <c r="C18" s="791">
        <f>ROUND(100655.06+5000,2)</f>
        <v>105655.06</v>
      </c>
      <c r="D18" s="791">
        <f>ROUND(83879.22+5000,2)</f>
        <v>88879.22</v>
      </c>
      <c r="E18" s="13"/>
      <c r="F18" s="13"/>
    </row>
    <row r="19" spans="1:6" s="1" customFormat="1" x14ac:dyDescent="0.2">
      <c r="A19" s="13"/>
      <c r="B19" s="500">
        <v>0.7</v>
      </c>
      <c r="C19" s="791">
        <f>ROUND(84423.12+5000,2)</f>
        <v>89423.12</v>
      </c>
      <c r="D19" s="790">
        <f>ROUND(71105.89+5000,2)</f>
        <v>76105.89</v>
      </c>
      <c r="E19" s="13"/>
      <c r="F19" s="13"/>
    </row>
    <row r="20" spans="1:6" s="1" customFormat="1" x14ac:dyDescent="0.2">
      <c r="A20" s="13"/>
      <c r="B20" s="500">
        <v>0.8</v>
      </c>
      <c r="C20" s="791">
        <f>ROUND(79538.76+5000,2)</f>
        <v>84538.76</v>
      </c>
      <c r="D20" s="790">
        <f>ROUND(65384.56+5000,2)</f>
        <v>70384.56</v>
      </c>
      <c r="E20" s="13"/>
      <c r="F20" s="13"/>
    </row>
    <row r="21" spans="1:6" s="1" customFormat="1" x14ac:dyDescent="0.2">
      <c r="A21" s="13"/>
      <c r="B21" s="500">
        <v>0.9</v>
      </c>
      <c r="C21" s="791">
        <f>ROUND(78512.12+5000,2)</f>
        <v>83512.12</v>
      </c>
      <c r="D21" s="790">
        <f>ROUND(64251.66+5000,2)</f>
        <v>69251.66</v>
      </c>
      <c r="E21" s="13"/>
      <c r="F21" s="13"/>
    </row>
    <row r="22" spans="1:6" s="1" customFormat="1" x14ac:dyDescent="0.2">
      <c r="A22" s="13"/>
      <c r="B22" s="500">
        <v>1</v>
      </c>
      <c r="C22" s="791">
        <f>ROUND(77605.08+5000,2)</f>
        <v>82605.08</v>
      </c>
      <c r="D22" s="790">
        <f>ROUND(63276.94+5000,2)</f>
        <v>68276.94</v>
      </c>
      <c r="E22" s="13"/>
      <c r="F22" s="13"/>
    </row>
    <row r="23" spans="1:6" s="1" customFormat="1" x14ac:dyDescent="0.2">
      <c r="A23" s="13"/>
      <c r="B23" s="500">
        <v>1.1000000000000001</v>
      </c>
      <c r="C23" s="791">
        <f>ROUND(74508.27+5000,2)</f>
        <v>79508.27</v>
      </c>
      <c r="D23" s="790">
        <f>ROUND(61087.21+5000,2)</f>
        <v>66087.210000000006</v>
      </c>
      <c r="E23" s="13"/>
      <c r="F23" s="13"/>
    </row>
    <row r="24" spans="1:6" s="1" customFormat="1" x14ac:dyDescent="0.2">
      <c r="A24" s="13"/>
      <c r="B24" s="500">
        <v>1.2</v>
      </c>
      <c r="C24" s="791">
        <f>ROUND(74033.62+5000,2)</f>
        <v>79033.62</v>
      </c>
      <c r="D24" s="790">
        <f>ROUND(60584.77+5000,2)</f>
        <v>65584.77</v>
      </c>
      <c r="E24" s="13"/>
      <c r="F24" s="13"/>
    </row>
    <row r="25" spans="1:6" s="1" customFormat="1" x14ac:dyDescent="0.2">
      <c r="A25" s="13"/>
      <c r="B25" s="500">
        <v>1.3</v>
      </c>
      <c r="C25" s="791">
        <f>ROUND(72687.71+5000,2)</f>
        <v>77687.710000000006</v>
      </c>
      <c r="D25" s="790">
        <f>ROUND(59058.23+5000,2)</f>
        <v>64058.23</v>
      </c>
      <c r="E25" s="13"/>
      <c r="F25" s="13"/>
    </row>
    <row r="26" spans="1:6" s="1" customFormat="1" x14ac:dyDescent="0.2">
      <c r="A26" s="13"/>
      <c r="B26" s="500">
        <v>1.4</v>
      </c>
      <c r="C26" s="791">
        <f>ROUND(71967.91+5000,2)</f>
        <v>76967.91</v>
      </c>
      <c r="D26" s="790">
        <f>ROUND(58852.72+5000,2)</f>
        <v>63852.72</v>
      </c>
      <c r="E26" s="13"/>
      <c r="F26" s="13"/>
    </row>
    <row r="27" spans="1:6" x14ac:dyDescent="0.2">
      <c r="B27" s="500">
        <v>1.5</v>
      </c>
      <c r="C27" s="791">
        <f>ROUND(75257.01+1000,2)</f>
        <v>76257.009999999995</v>
      </c>
      <c r="D27" s="790">
        <f>ROUND(62525.82+1000,2)</f>
        <v>63525.82</v>
      </c>
    </row>
    <row r="28" spans="1:6" x14ac:dyDescent="0.2">
      <c r="B28" s="500">
        <v>1.6</v>
      </c>
      <c r="C28" s="791">
        <f>ROUND(69837.81+5000,2)</f>
        <v>74837.81</v>
      </c>
      <c r="D28" s="790">
        <f>ROUND(57053.76+5000,2)</f>
        <v>62053.760000000002</v>
      </c>
    </row>
    <row r="29" spans="1:6" x14ac:dyDescent="0.2">
      <c r="B29" s="500">
        <v>1.8</v>
      </c>
      <c r="C29" s="791">
        <f>ROUND(69631.15+5000,2)</f>
        <v>74631.149999999994</v>
      </c>
      <c r="D29" s="790">
        <f>ROUND(57032.62+5000,2)</f>
        <v>62032.62</v>
      </c>
    </row>
    <row r="30" spans="1:6" x14ac:dyDescent="0.2">
      <c r="A30" s="58"/>
      <c r="B30" s="500">
        <v>1.9</v>
      </c>
      <c r="C30" s="791">
        <f>ROUND(69606.5+5000,2)</f>
        <v>74606.5</v>
      </c>
      <c r="D30" s="790">
        <f>ROUND(56730.85+5000,2)</f>
        <v>61730.85</v>
      </c>
    </row>
    <row r="31" spans="1:6" x14ac:dyDescent="0.2">
      <c r="A31" s="58"/>
      <c r="B31" s="500">
        <v>2</v>
      </c>
      <c r="C31" s="791">
        <f>ROUND(68986.49+5000,2)</f>
        <v>73986.490000000005</v>
      </c>
      <c r="D31" s="790">
        <f>ROUND(56429.06+5000,2)</f>
        <v>61429.06</v>
      </c>
    </row>
    <row r="32" spans="1:6" x14ac:dyDescent="0.2">
      <c r="B32" s="500">
        <v>2.1</v>
      </c>
      <c r="C32" s="791">
        <f>ROUND(68533.22+5000,2)</f>
        <v>73533.22</v>
      </c>
      <c r="D32" s="790">
        <f>ROUND(55946.45+5000,2)</f>
        <v>60946.45</v>
      </c>
    </row>
    <row r="33" spans="2:6" x14ac:dyDescent="0.2">
      <c r="B33" s="500">
        <v>2.2000000000000002</v>
      </c>
      <c r="C33" s="791">
        <f>ROUND(67139.38+5000,2)</f>
        <v>72139.38</v>
      </c>
      <c r="D33" s="790">
        <f>ROUND(55604.74+5000,2)</f>
        <v>60604.74</v>
      </c>
    </row>
    <row r="34" spans="2:6" x14ac:dyDescent="0.2">
      <c r="B34" s="500">
        <v>2.5</v>
      </c>
      <c r="C34" s="791">
        <f>ROUND(69127.54+5000,2)</f>
        <v>74127.539999999994</v>
      </c>
      <c r="D34" s="790">
        <f>ROUND(56897.35+5000,2)</f>
        <v>61897.35</v>
      </c>
    </row>
    <row r="35" spans="2:6" x14ac:dyDescent="0.2">
      <c r="B35" s="500">
        <v>2.75</v>
      </c>
      <c r="C35" s="791">
        <f>ROUND(68664.95+5000,2)</f>
        <v>73664.95</v>
      </c>
      <c r="D35" s="790">
        <f>ROUND(56555.55+5000,2)</f>
        <v>61555.55</v>
      </c>
    </row>
    <row r="36" spans="2:6" x14ac:dyDescent="0.2">
      <c r="B36" s="500">
        <v>2.8</v>
      </c>
      <c r="C36" s="791">
        <f>ROUND(67679.4+5000,2)</f>
        <v>72679.399999999994</v>
      </c>
      <c r="D36" s="790">
        <f>ROUND(56088.11+5000,2)</f>
        <v>61088.11</v>
      </c>
    </row>
    <row r="37" spans="2:6" x14ac:dyDescent="0.2">
      <c r="B37" s="565">
        <v>3</v>
      </c>
      <c r="C37" s="792">
        <f>ROUND(66711.93+5000,2)</f>
        <v>71711.929999999993</v>
      </c>
      <c r="D37" s="793">
        <f>ROUND(55333.26+5000,2)</f>
        <v>60333.26</v>
      </c>
    </row>
    <row r="38" spans="2:6" x14ac:dyDescent="0.2">
      <c r="B38" s="40"/>
      <c r="C38" s="40"/>
      <c r="D38" s="40"/>
      <c r="E38" s="40"/>
    </row>
    <row r="39" spans="2:6" x14ac:dyDescent="0.2">
      <c r="B39" s="91" t="s">
        <v>381</v>
      </c>
      <c r="C39" s="489"/>
      <c r="D39" s="489"/>
      <c r="E39" s="489"/>
      <c r="F39" s="489"/>
    </row>
    <row r="40" spans="2:6" x14ac:dyDescent="0.2">
      <c r="B40" s="91" t="s">
        <v>382</v>
      </c>
      <c r="C40" s="489"/>
      <c r="D40" s="489"/>
      <c r="E40" s="489"/>
      <c r="F40" s="489"/>
    </row>
    <row r="41" spans="2:6" x14ac:dyDescent="0.2">
      <c r="B41" s="91"/>
      <c r="C41" s="489"/>
      <c r="D41" s="489"/>
      <c r="E41" s="489"/>
      <c r="F41" s="489"/>
    </row>
    <row r="42" spans="2:6" x14ac:dyDescent="0.2">
      <c r="B42" s="36" t="s">
        <v>163</v>
      </c>
      <c r="C42" s="40"/>
      <c r="D42" s="40"/>
      <c r="E42" s="40"/>
      <c r="F42" s="40"/>
    </row>
    <row r="43" spans="2:6" x14ac:dyDescent="0.2">
      <c r="B43" s="589" t="s">
        <v>421</v>
      </c>
      <c r="C43" s="590" t="s">
        <v>418</v>
      </c>
    </row>
    <row r="44" spans="2:6" x14ac:dyDescent="0.2">
      <c r="B44" s="591">
        <v>0.14000000000000001</v>
      </c>
      <c r="C44" s="587">
        <v>0.12</v>
      </c>
    </row>
    <row r="45" spans="2:6" x14ac:dyDescent="0.2">
      <c r="B45" s="592">
        <v>0.41</v>
      </c>
      <c r="C45" s="587">
        <v>0.06</v>
      </c>
    </row>
    <row r="46" spans="2:6" x14ac:dyDescent="0.2">
      <c r="B46" s="593">
        <v>0.9</v>
      </c>
      <c r="C46" s="587">
        <v>0.05</v>
      </c>
    </row>
    <row r="47" spans="2:6" x14ac:dyDescent="0.2">
      <c r="B47" s="594">
        <v>1.91</v>
      </c>
      <c r="C47" s="588">
        <v>0.04</v>
      </c>
    </row>
    <row r="48" spans="2:6" x14ac:dyDescent="0.2">
      <c r="B48" s="41"/>
      <c r="C48" s="95"/>
    </row>
    <row r="49" spans="2:5" x14ac:dyDescent="0.2">
      <c r="B49" s="57" t="s">
        <v>272</v>
      </c>
      <c r="C49" s="95"/>
    </row>
    <row r="50" spans="2:5" x14ac:dyDescent="0.2">
      <c r="B50" s="57" t="s">
        <v>273</v>
      </c>
      <c r="C50" s="95"/>
      <c r="E50" s="53"/>
    </row>
    <row r="51" spans="2:5" x14ac:dyDescent="0.2">
      <c r="B51" s="1"/>
      <c r="C51" s="1"/>
      <c r="D51" s="643">
        <v>43332</v>
      </c>
      <c r="E51" s="2"/>
    </row>
    <row r="52" spans="2:5" x14ac:dyDescent="0.2">
      <c r="B52" s="4"/>
      <c r="C52" s="452"/>
      <c r="D52" s="471" t="s">
        <v>383</v>
      </c>
      <c r="E52" s="2"/>
    </row>
    <row r="53" spans="2:5" x14ac:dyDescent="0.2">
      <c r="B53" s="4"/>
      <c r="C53" s="454"/>
      <c r="D53" s="464" t="s">
        <v>384</v>
      </c>
      <c r="E53" s="2"/>
    </row>
    <row r="54" spans="2:5" x14ac:dyDescent="0.2">
      <c r="C54" s="502" t="s">
        <v>287</v>
      </c>
      <c r="D54" s="434" t="s">
        <v>368</v>
      </c>
      <c r="E54" s="2"/>
    </row>
    <row r="55" spans="2:5" x14ac:dyDescent="0.2">
      <c r="C55" s="577">
        <v>2.5</v>
      </c>
      <c r="D55" s="794">
        <f>ROUND(56769.38+5000,2)</f>
        <v>61769.38</v>
      </c>
      <c r="E55" s="2"/>
    </row>
    <row r="56" spans="2:5" ht="20.100000000000001" customHeight="1" x14ac:dyDescent="0.2">
      <c r="C56" s="503" t="s">
        <v>287</v>
      </c>
      <c r="D56" s="702" t="s">
        <v>368</v>
      </c>
      <c r="E56" s="2"/>
    </row>
    <row r="57" spans="2:5" x14ac:dyDescent="0.2">
      <c r="C57" s="577">
        <v>2.5</v>
      </c>
      <c r="D57" s="794">
        <f>ROUND(56769.38+5000,2)</f>
        <v>61769.38</v>
      </c>
      <c r="E57" s="2"/>
    </row>
    <row r="58" spans="2:5" ht="20.100000000000001" customHeight="1" x14ac:dyDescent="0.2">
      <c r="C58" s="503" t="s">
        <v>287</v>
      </c>
      <c r="D58" s="504" t="s">
        <v>368</v>
      </c>
      <c r="E58" s="2"/>
    </row>
    <row r="59" spans="2:5" x14ac:dyDescent="0.2">
      <c r="C59" s="578">
        <v>2.1</v>
      </c>
      <c r="D59" s="794">
        <f>ROUND(56964.5+5000,2)</f>
        <v>61964.5</v>
      </c>
      <c r="E59" s="2"/>
    </row>
    <row r="60" spans="2:5" x14ac:dyDescent="0.2">
      <c r="C60" s="577">
        <v>2.5</v>
      </c>
      <c r="D60" s="795">
        <f>ROUND(56769.38+5000,2)</f>
        <v>61769.38</v>
      </c>
    </row>
    <row r="61" spans="2:5" ht="20.100000000000001" customHeight="1" x14ac:dyDescent="0.2">
      <c r="C61" s="503" t="s">
        <v>287</v>
      </c>
      <c r="D61" s="505" t="s">
        <v>368</v>
      </c>
    </row>
    <row r="62" spans="2:5" x14ac:dyDescent="0.2">
      <c r="C62" s="578">
        <v>2.1</v>
      </c>
      <c r="D62" s="794">
        <f>ROUND(56964.5+5000,2)</f>
        <v>61964.5</v>
      </c>
    </row>
  </sheetData>
  <phoneticPr fontId="0" type="noConversion"/>
  <conditionalFormatting sqref="B44:B45 B42 A30:A31 B27:B37">
    <cfRule type="cellIs" dxfId="557" priority="1" stopIfTrue="1" operator="equal">
      <formula>0</formula>
    </cfRule>
  </conditionalFormatting>
  <hyperlinks>
    <hyperlink ref="F1" location="'2'!A1" display="Оглавление"/>
  </hyperlinks>
  <printOptions horizontalCentered="1"/>
  <pageMargins left="0.59055118110236227" right="0.59055118110236227" top="0.35433070866141736" bottom="0.39370078740157483" header="0.23622047244094491" footer="0.23622047244094491"/>
  <pageSetup paperSize="9" scale="96" orientation="portrait" r:id="rId1"/>
  <headerFooter alignWithMargins="0">
    <oddHeader>&amp;A</oddHeader>
  </headerFooter>
  <tableParts count="6">
    <tablePart r:id="rId2"/>
    <tablePart r:id="rId3"/>
    <tablePart r:id="rId4"/>
    <tablePart r:id="rId5"/>
    <tablePart r:id="rId6"/>
    <tablePart r:id="rId7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H61"/>
  <sheetViews>
    <sheetView showGridLines="0" showRowColHeaders="0" view="pageBreakPreview" topLeftCell="A31" zoomScaleNormal="100" zoomScaleSheetLayoutView="100" workbookViewId="0"/>
  </sheetViews>
  <sheetFormatPr defaultColWidth="8.85546875" defaultRowHeight="12.75" x14ac:dyDescent="0.2"/>
  <cols>
    <col min="1" max="1" width="5.7109375" style="13" customWidth="1"/>
    <col min="2" max="2" width="16.7109375" style="13" customWidth="1"/>
    <col min="3" max="4" width="14.7109375" style="13" customWidth="1"/>
    <col min="5" max="5" width="12.7109375" style="13" customWidth="1"/>
    <col min="6" max="6" width="10.7109375" style="13" customWidth="1"/>
    <col min="7" max="7" width="16.7109375" style="13" customWidth="1"/>
    <col min="8" max="8" width="14.7109375" style="13" customWidth="1"/>
    <col min="9" max="16384" width="8.85546875" style="13"/>
  </cols>
  <sheetData>
    <row r="1" spans="1:8" x14ac:dyDescent="0.2">
      <c r="B1" s="8"/>
      <c r="C1" s="2">
        <v>43332</v>
      </c>
      <c r="E1" s="2">
        <v>43332</v>
      </c>
      <c r="G1" s="1"/>
      <c r="H1" s="2">
        <v>43332</v>
      </c>
    </row>
    <row r="2" spans="1:8" ht="18" customHeight="1" x14ac:dyDescent="0.2">
      <c r="B2" s="8"/>
      <c r="C2" s="453" t="s">
        <v>386</v>
      </c>
      <c r="E2" s="453" t="s">
        <v>175</v>
      </c>
      <c r="G2" s="1"/>
      <c r="H2" s="453" t="s">
        <v>133</v>
      </c>
    </row>
    <row r="3" spans="1:8" ht="38.25" x14ac:dyDescent="0.2">
      <c r="B3" s="506" t="s">
        <v>385</v>
      </c>
      <c r="C3" s="507"/>
      <c r="D3" s="506" t="s">
        <v>176</v>
      </c>
      <c r="E3" s="507"/>
      <c r="G3" s="506" t="s">
        <v>132</v>
      </c>
      <c r="H3" s="507"/>
    </row>
    <row r="4" spans="1:8" x14ac:dyDescent="0.2">
      <c r="B4" s="450" t="s">
        <v>287</v>
      </c>
      <c r="C4" s="434" t="s">
        <v>368</v>
      </c>
      <c r="D4" s="450" t="s">
        <v>287</v>
      </c>
      <c r="E4" s="434" t="s">
        <v>368</v>
      </c>
      <c r="G4" s="450" t="s">
        <v>287</v>
      </c>
      <c r="H4" s="434" t="s">
        <v>368</v>
      </c>
    </row>
    <row r="5" spans="1:8" ht="13.15" customHeight="1" x14ac:dyDescent="0.2">
      <c r="A5" s="73"/>
      <c r="B5" s="524">
        <v>1.1000000000000001</v>
      </c>
      <c r="C5" s="527">
        <f>ROUND(83734.89+5000,2)</f>
        <v>88734.89</v>
      </c>
      <c r="D5" s="524"/>
      <c r="E5" s="487"/>
      <c r="G5" s="417">
        <v>0.4</v>
      </c>
      <c r="H5" s="782">
        <f>ROUND(116403.42+5000,2)</f>
        <v>121403.42</v>
      </c>
    </row>
    <row r="6" spans="1:8" x14ac:dyDescent="0.2">
      <c r="B6" s="524">
        <v>1.3</v>
      </c>
      <c r="C6" s="527">
        <f>ROUND(83305.88+5000,2)</f>
        <v>88305.88</v>
      </c>
      <c r="D6" s="524"/>
      <c r="E6" s="487"/>
      <c r="G6" s="417">
        <v>0.5</v>
      </c>
      <c r="H6" s="782">
        <f>ROUND(105876.06+5000,2)</f>
        <v>110876.06</v>
      </c>
    </row>
    <row r="7" spans="1:8" x14ac:dyDescent="0.2">
      <c r="B7" s="524">
        <v>1.65</v>
      </c>
      <c r="C7" s="527">
        <f>ROUND(82606.49+5000,2)</f>
        <v>87606.49</v>
      </c>
      <c r="D7" s="524"/>
      <c r="E7" s="487"/>
      <c r="G7" s="417">
        <v>0.6</v>
      </c>
      <c r="H7" s="782">
        <f>ROUND(101731.43+5000,2)</f>
        <v>106731.43</v>
      </c>
    </row>
    <row r="8" spans="1:8" x14ac:dyDescent="0.2">
      <c r="B8" s="524">
        <v>2.1</v>
      </c>
      <c r="C8" s="527">
        <f>ROUND(80670.25+5000,2)</f>
        <v>85670.25</v>
      </c>
      <c r="D8" s="524"/>
      <c r="E8" s="487"/>
      <c r="G8" s="417">
        <v>0.7</v>
      </c>
      <c r="H8" s="782">
        <f>ROUND(97130.92+5000,2)</f>
        <v>102130.92</v>
      </c>
    </row>
    <row r="9" spans="1:8" x14ac:dyDescent="0.2">
      <c r="B9" s="524">
        <v>2.4</v>
      </c>
      <c r="C9" s="527">
        <f>ROUND(80249.7+5000,2)</f>
        <v>85249.7</v>
      </c>
      <c r="D9" s="524"/>
      <c r="E9" s="487"/>
      <c r="G9" s="417">
        <v>0.8</v>
      </c>
      <c r="H9" s="782">
        <f>ROUND(91742.91+5000,2)</f>
        <v>96742.91</v>
      </c>
    </row>
    <row r="10" spans="1:8" x14ac:dyDescent="0.2">
      <c r="B10" s="524">
        <v>2.9</v>
      </c>
      <c r="C10" s="527">
        <f>ROUND(80038.32+5000,2)</f>
        <v>85038.32</v>
      </c>
      <c r="D10" s="524">
        <v>2.9</v>
      </c>
      <c r="E10" s="527">
        <f>ROUND(80038.32+5000,2)</f>
        <v>85038.32</v>
      </c>
      <c r="G10" s="417">
        <v>0.9</v>
      </c>
      <c r="H10" s="782">
        <f>ROUND(89173.23+5000,2)</f>
        <v>94173.23</v>
      </c>
    </row>
    <row r="11" spans="1:8" x14ac:dyDescent="0.2">
      <c r="B11" s="524">
        <v>3.3</v>
      </c>
      <c r="C11" s="527">
        <f>ROUND(79883.13+5000,2)</f>
        <v>84883.13</v>
      </c>
      <c r="D11" s="524">
        <v>3.3</v>
      </c>
      <c r="E11" s="527">
        <f>ROUND(79883.13+5000,2)</f>
        <v>84883.13</v>
      </c>
      <c r="G11" s="478">
        <v>1</v>
      </c>
      <c r="H11" s="782">
        <f>ROUND(87059.48+5000,2)</f>
        <v>92059.48</v>
      </c>
    </row>
    <row r="12" spans="1:8" ht="16.149999999999999" customHeight="1" x14ac:dyDescent="0.2">
      <c r="B12" s="566">
        <v>3.8</v>
      </c>
      <c r="C12" s="527">
        <f>ROUND(79860.65+5000,2)</f>
        <v>84860.65</v>
      </c>
      <c r="D12" s="566">
        <v>3.8</v>
      </c>
      <c r="E12" s="527">
        <f>ROUND(79860.65+5000,2)</f>
        <v>84860.65</v>
      </c>
      <c r="G12" s="11"/>
      <c r="H12" s="11"/>
    </row>
    <row r="13" spans="1:8" ht="16.149999999999999" customHeight="1" x14ac:dyDescent="0.2">
      <c r="B13" s="15"/>
      <c r="C13" s="11"/>
      <c r="D13" s="15"/>
      <c r="E13" s="11"/>
      <c r="G13" s="11"/>
    </row>
    <row r="14" spans="1:8" x14ac:dyDescent="0.2">
      <c r="G14" s="513"/>
      <c r="H14" s="2">
        <v>43332</v>
      </c>
    </row>
    <row r="15" spans="1:8" ht="15.95" customHeight="1" x14ac:dyDescent="0.2">
      <c r="B15" s="6"/>
      <c r="C15" s="6"/>
      <c r="D15" s="2">
        <v>43332</v>
      </c>
      <c r="G15" s="514"/>
      <c r="H15" s="517" t="s">
        <v>192</v>
      </c>
    </row>
    <row r="16" spans="1:8" ht="25.5" x14ac:dyDescent="0.2">
      <c r="B16" s="511" t="s">
        <v>14</v>
      </c>
      <c r="C16" s="512"/>
      <c r="D16" s="430" t="s">
        <v>15</v>
      </c>
      <c r="G16" s="515" t="s">
        <v>216</v>
      </c>
      <c r="H16" s="516"/>
    </row>
    <row r="17" spans="2:8" x14ac:dyDescent="0.2">
      <c r="B17" s="508" t="s">
        <v>198</v>
      </c>
      <c r="C17" s="509"/>
      <c r="D17" s="510"/>
      <c r="G17" s="450" t="s">
        <v>287</v>
      </c>
      <c r="H17" s="434" t="s">
        <v>368</v>
      </c>
    </row>
    <row r="18" spans="2:8" x14ac:dyDescent="0.2">
      <c r="B18" s="450" t="s">
        <v>287</v>
      </c>
      <c r="C18" s="528" t="s">
        <v>379</v>
      </c>
      <c r="D18" s="529" t="s">
        <v>380</v>
      </c>
      <c r="G18" s="567">
        <v>1.8</v>
      </c>
      <c r="H18" s="782">
        <f>ROUND(72342.44+5000,2)</f>
        <v>77342.44</v>
      </c>
    </row>
    <row r="19" spans="2:8" x14ac:dyDescent="0.2">
      <c r="B19" s="525">
        <v>0.2</v>
      </c>
      <c r="C19" s="783">
        <f>ROUND(144319.51+5000,2)</f>
        <v>149319.51</v>
      </c>
      <c r="D19" s="527">
        <f>ROUND(146680.84+5000,2)</f>
        <v>151680.84</v>
      </c>
      <c r="G19" s="531">
        <v>2</v>
      </c>
      <c r="H19" s="782">
        <f>ROUND(71905.41+5000,2)</f>
        <v>76905.41</v>
      </c>
    </row>
    <row r="20" spans="2:8" x14ac:dyDescent="0.2">
      <c r="B20" s="526">
        <v>0.24</v>
      </c>
      <c r="C20" s="783">
        <f>ROUND(141124.71+5000,2)</f>
        <v>146124.71</v>
      </c>
      <c r="D20" s="527">
        <f>ROUND(145486.29+5000,2)</f>
        <v>150486.29</v>
      </c>
      <c r="G20" s="531">
        <v>2.1</v>
      </c>
      <c r="H20" s="782">
        <f>ROUND(71165.74+5000,2)</f>
        <v>76165.740000000005</v>
      </c>
    </row>
    <row r="21" spans="2:8" x14ac:dyDescent="0.2">
      <c r="B21" s="526">
        <v>0.26</v>
      </c>
      <c r="C21" s="783">
        <f>ROUND(138735.58+5000,2)</f>
        <v>143735.57999999999</v>
      </c>
      <c r="D21" s="527">
        <f>ROUND(143013.79+5000,2)</f>
        <v>148013.79</v>
      </c>
      <c r="G21" s="531">
        <v>2.2000000000000002</v>
      </c>
      <c r="H21" s="782">
        <f>ROUND(69956.58+5000,2)</f>
        <v>74956.58</v>
      </c>
    </row>
    <row r="22" spans="2:8" ht="13.15" customHeight="1" x14ac:dyDescent="0.2">
      <c r="B22" s="526">
        <v>0.28000000000000003</v>
      </c>
      <c r="C22" s="783">
        <f>ROUND(137290.99+5000,2)</f>
        <v>142290.99</v>
      </c>
      <c r="D22" s="527">
        <f>ROUND(140958.02+5000,2)</f>
        <v>145958.01999999999</v>
      </c>
      <c r="G22" s="531">
        <v>2.2999999999999998</v>
      </c>
      <c r="H22" s="782">
        <f>ROUND(69186.87+5000,2)</f>
        <v>74186.87</v>
      </c>
    </row>
    <row r="23" spans="2:8" ht="13.15" customHeight="1" x14ac:dyDescent="0.2">
      <c r="B23" s="526">
        <v>0.32</v>
      </c>
      <c r="C23" s="783">
        <f>ROUND(134596.25+5000,2)</f>
        <v>139596.25</v>
      </c>
      <c r="D23" s="527">
        <f>ROUND(138707.79+5000,2)</f>
        <v>143707.79</v>
      </c>
      <c r="G23" s="568">
        <v>2.4</v>
      </c>
      <c r="H23" s="782">
        <f>ROUND(68359.85+5000,2)</f>
        <v>73359.850000000006</v>
      </c>
    </row>
    <row r="24" spans="2:8" ht="13.15" customHeight="1" x14ac:dyDescent="0.2">
      <c r="B24" s="526">
        <v>0.34</v>
      </c>
      <c r="C24" s="783">
        <f>ROUND(133707.24+5000,2)</f>
        <v>138707.24</v>
      </c>
      <c r="D24" s="527">
        <f>ROUND(141013.58+5000,2)</f>
        <v>146013.57999999999</v>
      </c>
      <c r="F24" s="86"/>
      <c r="G24" s="531">
        <v>2.65</v>
      </c>
      <c r="H24" s="782">
        <f>ROUND(67622.9+5000,2)</f>
        <v>72622.899999999994</v>
      </c>
    </row>
    <row r="25" spans="2:8" ht="13.15" customHeight="1" x14ac:dyDescent="0.2">
      <c r="B25" s="526">
        <v>0.36</v>
      </c>
      <c r="C25" s="783">
        <f>ROUND(132748.51+5000,2)</f>
        <v>137748.51</v>
      </c>
      <c r="D25" s="527"/>
      <c r="F25" s="86"/>
      <c r="G25" s="531">
        <v>2.8</v>
      </c>
      <c r="H25" s="782">
        <f>ROUND(66765.84+5000,2)</f>
        <v>71765.84</v>
      </c>
    </row>
    <row r="26" spans="2:8" ht="13.15" customHeight="1" x14ac:dyDescent="0.2">
      <c r="B26" s="526">
        <v>0.38</v>
      </c>
      <c r="C26" s="783">
        <f>ROUND(131790.39+5000,2)</f>
        <v>136790.39000000001</v>
      </c>
      <c r="D26" s="527">
        <f>ROUND(135624.13+5000,2)</f>
        <v>140624.13</v>
      </c>
      <c r="G26" s="531">
        <v>2.95</v>
      </c>
      <c r="H26" s="782">
        <f>ROUND(66568.45+5000,2)</f>
        <v>71568.45</v>
      </c>
    </row>
    <row r="27" spans="2:8" ht="13.15" customHeight="1" x14ac:dyDescent="0.2">
      <c r="B27" s="525">
        <v>0.4</v>
      </c>
      <c r="C27" s="783">
        <f>ROUND(130679.17+5000,2)</f>
        <v>135679.17000000001</v>
      </c>
      <c r="D27" s="527">
        <f>ROUND(134596.25+5000,2)</f>
        <v>139596.25</v>
      </c>
      <c r="G27" s="531">
        <v>3.05</v>
      </c>
      <c r="H27" s="782">
        <f>ROUND(65694.77+5000,2)</f>
        <v>70694.77</v>
      </c>
    </row>
    <row r="28" spans="2:8" ht="13.15" customHeight="1" x14ac:dyDescent="0.2">
      <c r="B28" s="526">
        <v>0.45</v>
      </c>
      <c r="C28" s="783">
        <f>ROUND(130456.91+5000,2)</f>
        <v>135456.91</v>
      </c>
      <c r="D28" s="527">
        <f>ROUND(134374.01+5000,2)</f>
        <v>139374.01</v>
      </c>
      <c r="G28" s="531">
        <v>3.2</v>
      </c>
      <c r="H28" s="782">
        <f>ROUND(64943.49+5000,2)</f>
        <v>69943.490000000005</v>
      </c>
    </row>
    <row r="29" spans="2:8" ht="13.15" customHeight="1" x14ac:dyDescent="0.2">
      <c r="B29" s="525">
        <v>0.5</v>
      </c>
      <c r="C29" s="783">
        <f>ROUND(129845.74+5000,2)</f>
        <v>134845.74</v>
      </c>
      <c r="D29" s="527">
        <f>ROUND(133790.58+5000,2)</f>
        <v>138790.57999999999</v>
      </c>
      <c r="G29" s="531">
        <v>3.4</v>
      </c>
      <c r="H29" s="782">
        <f>ROUND(64069.8+5000,2)</f>
        <v>69069.8</v>
      </c>
    </row>
    <row r="30" spans="2:8" ht="13.15" customHeight="1" x14ac:dyDescent="0.2">
      <c r="B30" s="526">
        <v>0.56000000000000005</v>
      </c>
      <c r="C30" s="783">
        <f>ROUND(122678.31+5000,2)</f>
        <v>127678.31</v>
      </c>
      <c r="D30" s="527">
        <f>ROUND(126262.02+5000,2)</f>
        <v>131262.01999999999</v>
      </c>
      <c r="G30" s="531">
        <v>3.5</v>
      </c>
      <c r="H30" s="782">
        <f>ROUND(63708.08+5000,2)</f>
        <v>68708.08</v>
      </c>
    </row>
    <row r="31" spans="2:8" x14ac:dyDescent="0.2">
      <c r="B31" s="530">
        <v>0.7</v>
      </c>
      <c r="C31" s="784">
        <f>ROUND(118789.03+5000,2)</f>
        <v>123789.03</v>
      </c>
      <c r="D31" s="785">
        <f>ROUND(122206.04+5000,2)</f>
        <v>127206.04</v>
      </c>
      <c r="G31" s="569">
        <v>3.6</v>
      </c>
      <c r="H31" s="782">
        <f>ROUND(63315.74+5000,2)</f>
        <v>68315.740000000005</v>
      </c>
    </row>
    <row r="32" spans="2:8" x14ac:dyDescent="0.2">
      <c r="B32" s="84"/>
      <c r="C32" s="87"/>
      <c r="G32" s="570">
        <v>3.8</v>
      </c>
      <c r="H32" s="782">
        <f>ROUND(62444.85+5000,2)</f>
        <v>67444.850000000006</v>
      </c>
    </row>
    <row r="33" spans="2:8" x14ac:dyDescent="0.2">
      <c r="B33" s="5"/>
      <c r="C33" s="5"/>
      <c r="D33" s="2">
        <v>43332</v>
      </c>
      <c r="G33" s="803" t="s">
        <v>481</v>
      </c>
      <c r="H33" s="802"/>
    </row>
    <row r="34" spans="2:8" ht="25.5" x14ac:dyDescent="0.2">
      <c r="B34" s="465" t="s">
        <v>392</v>
      </c>
      <c r="C34" s="499"/>
      <c r="D34" s="430" t="s">
        <v>197</v>
      </c>
      <c r="H34" s="88"/>
    </row>
    <row r="35" spans="2:8" x14ac:dyDescent="0.2">
      <c r="B35" s="519" t="s">
        <v>198</v>
      </c>
      <c r="C35" s="520"/>
      <c r="D35" s="521"/>
      <c r="G35" s="86"/>
      <c r="H35" s="88"/>
    </row>
    <row r="36" spans="2:8" x14ac:dyDescent="0.2">
      <c r="B36" s="450" t="s">
        <v>287</v>
      </c>
      <c r="C36" s="528" t="s">
        <v>379</v>
      </c>
      <c r="D36" s="529" t="s">
        <v>380</v>
      </c>
      <c r="G36" s="86"/>
      <c r="H36" s="88"/>
    </row>
    <row r="37" spans="2:8" x14ac:dyDescent="0.2">
      <c r="B37" s="533">
        <v>0.25</v>
      </c>
      <c r="C37" s="113">
        <f>ROUND(134228.23+5000,2)</f>
        <v>139228.23000000001</v>
      </c>
      <c r="D37" s="786">
        <f>ROUND(130007.25+5000,2)</f>
        <v>135007.25</v>
      </c>
      <c r="G37" s="86"/>
      <c r="H37" s="88"/>
    </row>
    <row r="38" spans="2:8" ht="13.15" customHeight="1" x14ac:dyDescent="0.2">
      <c r="B38" s="531">
        <v>0.3</v>
      </c>
      <c r="C38" s="113">
        <f>ROUND(124730.56+5000,2)</f>
        <v>129730.56</v>
      </c>
      <c r="D38" s="786">
        <f>ROUND(119638.54+5000,2)</f>
        <v>124638.54</v>
      </c>
      <c r="G38" s="86"/>
      <c r="H38" s="88"/>
    </row>
    <row r="39" spans="2:8" x14ac:dyDescent="0.2">
      <c r="B39" s="531">
        <v>0.4</v>
      </c>
      <c r="C39" s="113">
        <f>ROUND(108557.49+5000,2)</f>
        <v>113557.49</v>
      </c>
      <c r="D39" s="786">
        <f>ROUND(105259.54+5000,2)</f>
        <v>110259.54</v>
      </c>
      <c r="G39" s="86"/>
      <c r="H39" s="88"/>
    </row>
    <row r="40" spans="2:8" x14ac:dyDescent="0.2">
      <c r="B40" s="532">
        <v>0.5</v>
      </c>
      <c r="C40" s="787">
        <f>ROUND(101222.87+5000,2)</f>
        <v>106222.87</v>
      </c>
      <c r="D40" s="788">
        <f>ROUND(98690.05+5000,2)</f>
        <v>103690.05</v>
      </c>
    </row>
    <row r="41" spans="2:8" x14ac:dyDescent="0.2">
      <c r="B41" s="13" t="s">
        <v>232</v>
      </c>
    </row>
    <row r="42" spans="2:8" x14ac:dyDescent="0.2">
      <c r="B42" s="44"/>
      <c r="C42" s="44"/>
      <c r="D42" s="2">
        <v>43332</v>
      </c>
      <c r="G42" s="522"/>
      <c r="H42" s="523">
        <v>43332</v>
      </c>
    </row>
    <row r="43" spans="2:8" ht="30" customHeight="1" x14ac:dyDescent="0.2">
      <c r="B43" s="465" t="s">
        <v>193</v>
      </c>
      <c r="C43" s="499"/>
      <c r="D43" s="428" t="s">
        <v>389</v>
      </c>
      <c r="G43" s="445" t="s">
        <v>390</v>
      </c>
      <c r="H43" s="493"/>
    </row>
    <row r="44" spans="2:8" x14ac:dyDescent="0.2">
      <c r="B44" s="534" t="s">
        <v>287</v>
      </c>
      <c r="C44" s="535" t="s">
        <v>195</v>
      </c>
      <c r="D44" s="536" t="s">
        <v>368</v>
      </c>
      <c r="E44" s="94"/>
      <c r="G44" s="450" t="s">
        <v>287</v>
      </c>
      <c r="H44" s="434" t="s">
        <v>368</v>
      </c>
    </row>
    <row r="45" spans="2:8" x14ac:dyDescent="0.2">
      <c r="B45" s="642" t="s">
        <v>427</v>
      </c>
      <c r="C45" s="114">
        <v>0.14699999999999999</v>
      </c>
      <c r="D45" s="786">
        <v>15807.24</v>
      </c>
      <c r="E45" s="135"/>
      <c r="G45" s="571">
        <v>0.25</v>
      </c>
      <c r="H45" s="487">
        <f>ROUND(139002.4+5000,2)</f>
        <v>144002.4</v>
      </c>
    </row>
    <row r="46" spans="2:8" x14ac:dyDescent="0.2">
      <c r="B46" s="642" t="s">
        <v>428</v>
      </c>
      <c r="C46" s="114">
        <v>0.16</v>
      </c>
      <c r="D46" s="786">
        <v>16832.95</v>
      </c>
      <c r="E46" s="135"/>
      <c r="G46" s="572">
        <v>0.36</v>
      </c>
      <c r="H46" s="487">
        <f>ROUND(128284.7+5000,2)</f>
        <v>133284.70000000001</v>
      </c>
    </row>
    <row r="47" spans="2:8" x14ac:dyDescent="0.2">
      <c r="B47" s="642" t="s">
        <v>429</v>
      </c>
      <c r="C47" s="114">
        <v>0.19</v>
      </c>
      <c r="D47" s="786">
        <v>19247.13</v>
      </c>
      <c r="E47" s="135"/>
      <c r="G47" s="573">
        <v>0.41</v>
      </c>
      <c r="H47" s="487">
        <f>ROUND(103756.39+5000,2)</f>
        <v>108756.39</v>
      </c>
    </row>
    <row r="48" spans="2:8" ht="13.15" customHeight="1" x14ac:dyDescent="0.2">
      <c r="B48" s="642" t="s">
        <v>430</v>
      </c>
      <c r="C48" s="114">
        <v>0.20899999999999999</v>
      </c>
      <c r="D48" s="786">
        <v>20855.810000000001</v>
      </c>
      <c r="E48" s="135"/>
      <c r="G48" s="574">
        <v>0.6</v>
      </c>
      <c r="H48" s="789">
        <f>ROUND(101348.69+5000,2)</f>
        <v>106348.69</v>
      </c>
    </row>
    <row r="49" spans="2:8" x14ac:dyDescent="0.2">
      <c r="B49" s="642" t="s">
        <v>431</v>
      </c>
      <c r="C49" s="114">
        <v>0.22800000000000001</v>
      </c>
      <c r="D49" s="786">
        <v>21946.46</v>
      </c>
      <c r="E49" s="135"/>
      <c r="G49" s="312" t="s">
        <v>391</v>
      </c>
    </row>
    <row r="50" spans="2:8" ht="13.15" customHeight="1" x14ac:dyDescent="0.2">
      <c r="B50" s="642" t="s">
        <v>432</v>
      </c>
      <c r="C50" s="114">
        <v>0.25</v>
      </c>
      <c r="D50" s="786">
        <v>23280.49</v>
      </c>
      <c r="E50" s="135"/>
      <c r="G50" s="312" t="s">
        <v>387</v>
      </c>
      <c r="H50" s="1"/>
    </row>
    <row r="51" spans="2:8" ht="12.75" customHeight="1" x14ac:dyDescent="0.2">
      <c r="B51" s="642" t="s">
        <v>433</v>
      </c>
      <c r="C51" s="114">
        <v>0.26900000000000002</v>
      </c>
      <c r="D51" s="786">
        <v>25049.8</v>
      </c>
      <c r="E51" s="135"/>
      <c r="G51" s="518" t="s">
        <v>388</v>
      </c>
      <c r="H51" s="429"/>
    </row>
    <row r="52" spans="2:8" x14ac:dyDescent="0.2">
      <c r="B52" s="642" t="s">
        <v>434</v>
      </c>
      <c r="C52" s="114">
        <v>0.30199999999999999</v>
      </c>
      <c r="D52" s="786">
        <v>27812.59</v>
      </c>
      <c r="E52" s="135"/>
      <c r="H52" s="429"/>
    </row>
    <row r="53" spans="2:8" x14ac:dyDescent="0.2">
      <c r="B53" s="642" t="s">
        <v>435</v>
      </c>
      <c r="C53" s="114">
        <v>0.33700000000000002</v>
      </c>
      <c r="D53" s="786">
        <v>30634.25</v>
      </c>
      <c r="E53" s="135"/>
      <c r="H53" s="429"/>
    </row>
    <row r="54" spans="2:8" x14ac:dyDescent="0.2">
      <c r="B54" s="642" t="s">
        <v>436</v>
      </c>
      <c r="C54" s="114">
        <v>0.4</v>
      </c>
      <c r="D54" s="786">
        <v>35825.96</v>
      </c>
      <c r="E54" s="135"/>
    </row>
    <row r="55" spans="2:8" x14ac:dyDescent="0.2">
      <c r="B55" s="642" t="s">
        <v>437</v>
      </c>
      <c r="C55" s="114">
        <v>0.441</v>
      </c>
      <c r="D55" s="786">
        <v>38902.22</v>
      </c>
      <c r="E55" s="135"/>
    </row>
    <row r="56" spans="2:8" x14ac:dyDescent="0.2">
      <c r="B56" s="642" t="s">
        <v>438</v>
      </c>
      <c r="C56" s="114">
        <v>0.498</v>
      </c>
      <c r="D56" s="786">
        <v>42468.37</v>
      </c>
      <c r="E56" s="135"/>
    </row>
    <row r="57" spans="2:8" x14ac:dyDescent="0.2">
      <c r="B57" s="642" t="s">
        <v>439</v>
      </c>
      <c r="C57" s="114">
        <v>0.51699999914177996</v>
      </c>
      <c r="D57" s="786">
        <v>44008.939995708904</v>
      </c>
      <c r="E57" s="135"/>
      <c r="F57" s="132"/>
    </row>
    <row r="58" spans="2:8" x14ac:dyDescent="0.2">
      <c r="B58" s="642" t="s">
        <v>440</v>
      </c>
      <c r="C58" s="114">
        <v>0.52800000000000002</v>
      </c>
      <c r="D58" s="786">
        <v>46408.639999999999</v>
      </c>
      <c r="E58" s="135"/>
      <c r="G58" s="132"/>
    </row>
    <row r="59" spans="2:8" x14ac:dyDescent="0.2">
      <c r="B59" s="642" t="s">
        <v>441</v>
      </c>
      <c r="C59" s="114">
        <v>0.56699999999999995</v>
      </c>
      <c r="D59" s="786">
        <v>52933.2</v>
      </c>
      <c r="E59" s="135"/>
      <c r="G59" s="94"/>
      <c r="H59" s="94"/>
    </row>
    <row r="60" spans="2:8" x14ac:dyDescent="0.2">
      <c r="B60" s="642" t="s">
        <v>442</v>
      </c>
      <c r="C60" s="114">
        <v>0.73199999999999998</v>
      </c>
      <c r="D60" s="786">
        <v>68295.98000000001</v>
      </c>
      <c r="E60" s="135"/>
    </row>
    <row r="61" spans="2:8" x14ac:dyDescent="0.2">
      <c r="B61" s="642" t="s">
        <v>443</v>
      </c>
      <c r="C61" s="537">
        <v>1.601</v>
      </c>
      <c r="D61" s="786">
        <v>149073.60000000001</v>
      </c>
      <c r="E61" s="135"/>
    </row>
  </sheetData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>
    <oddHeader>&amp;A</oddHeader>
  </headerFooter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F40"/>
  <sheetViews>
    <sheetView showGridLines="0" showRowColHeaders="0" view="pageBreakPreview" topLeftCell="A16" zoomScaleNormal="100" zoomScaleSheetLayoutView="100" workbookViewId="0"/>
  </sheetViews>
  <sheetFormatPr defaultColWidth="8.85546875" defaultRowHeight="12.75" x14ac:dyDescent="0.2"/>
  <cols>
    <col min="1" max="1" width="5.7109375" style="13" customWidth="1"/>
    <col min="2" max="2" width="14.85546875" style="13" customWidth="1"/>
    <col min="3" max="4" width="16.7109375" style="13" customWidth="1"/>
    <col min="5" max="5" width="10.28515625" style="13" customWidth="1"/>
    <col min="6" max="16384" width="8.85546875" style="13"/>
  </cols>
  <sheetData>
    <row r="1" spans="1:6" s="1" customFormat="1" x14ac:dyDescent="0.2">
      <c r="A1" s="3"/>
      <c r="B1" s="13"/>
      <c r="C1" s="13"/>
      <c r="D1" s="643">
        <v>43332</v>
      </c>
      <c r="F1" s="31" t="s">
        <v>162</v>
      </c>
    </row>
    <row r="2" spans="1:6" s="1" customFormat="1" ht="24.95" customHeight="1" x14ac:dyDescent="0.2">
      <c r="A2" s="9"/>
      <c r="B2" s="538" t="s">
        <v>136</v>
      </c>
      <c r="C2" s="468"/>
      <c r="D2" s="490" t="s">
        <v>137</v>
      </c>
      <c r="E2" s="9"/>
    </row>
    <row r="3" spans="1:6" s="1" customFormat="1" ht="13.15" customHeight="1" x14ac:dyDescent="0.2">
      <c r="A3" s="14"/>
      <c r="B3" s="491"/>
      <c r="C3" s="467" t="s">
        <v>170</v>
      </c>
      <c r="D3" s="468"/>
      <c r="E3" s="14"/>
    </row>
    <row r="4" spans="1:6" s="1" customFormat="1" ht="13.15" customHeight="1" x14ac:dyDescent="0.2">
      <c r="A4" s="15"/>
      <c r="B4" s="450" t="s">
        <v>287</v>
      </c>
      <c r="C4" s="551" t="s">
        <v>412</v>
      </c>
      <c r="D4" s="804" t="s">
        <v>413</v>
      </c>
      <c r="E4" s="14"/>
    </row>
    <row r="5" spans="1:6" s="1" customFormat="1" x14ac:dyDescent="0.2">
      <c r="A5" s="12"/>
      <c r="B5" s="485">
        <v>0.4</v>
      </c>
      <c r="C5" s="778">
        <v>117800</v>
      </c>
      <c r="D5" s="779">
        <v>140300</v>
      </c>
      <c r="E5" s="12"/>
    </row>
    <row r="6" spans="1:6" s="1" customFormat="1" x14ac:dyDescent="0.2">
      <c r="A6" s="12"/>
      <c r="B6" s="485">
        <v>0.45</v>
      </c>
      <c r="C6" s="778">
        <v>111670</v>
      </c>
      <c r="D6" s="779">
        <v>133000</v>
      </c>
      <c r="E6" s="12"/>
    </row>
    <row r="7" spans="1:6" s="1" customFormat="1" x14ac:dyDescent="0.2">
      <c r="A7" s="12"/>
      <c r="B7" s="485">
        <v>0.5</v>
      </c>
      <c r="C7" s="778">
        <f>ROUND(100601.16+5000,2)</f>
        <v>105601.16</v>
      </c>
      <c r="D7" s="779">
        <f>ROUND(121370.1+5000,2)</f>
        <v>126370.1</v>
      </c>
      <c r="E7" s="12"/>
    </row>
    <row r="8" spans="1:6" s="1" customFormat="1" x14ac:dyDescent="0.2">
      <c r="A8" s="12"/>
      <c r="B8" s="485">
        <v>0.6</v>
      </c>
      <c r="C8" s="778">
        <f>ROUND(94396.67+5000,2)</f>
        <v>99396.67</v>
      </c>
      <c r="D8" s="779">
        <f>ROUND(113382.53+5000,2)</f>
        <v>118382.53</v>
      </c>
      <c r="E8" s="12"/>
    </row>
    <row r="9" spans="1:6" s="1" customFormat="1" x14ac:dyDescent="0.2">
      <c r="A9" s="12"/>
      <c r="B9" s="485">
        <v>0.65</v>
      </c>
      <c r="C9" s="778">
        <f>ROUND(90345+5000,2)</f>
        <v>95345</v>
      </c>
      <c r="D9" s="779">
        <f>ROUND(108166.51+5000,2)</f>
        <v>113166.51</v>
      </c>
      <c r="E9" s="12"/>
    </row>
    <row r="10" spans="1:6" s="1" customFormat="1" x14ac:dyDescent="0.2">
      <c r="A10" s="12"/>
      <c r="B10" s="485">
        <v>0.7</v>
      </c>
      <c r="C10" s="778">
        <f>ROUND(88338.19+5000,2)</f>
        <v>93338.19</v>
      </c>
      <c r="D10" s="779">
        <f>ROUND(105582.98+5000,2)</f>
        <v>110582.98</v>
      </c>
      <c r="E10" s="12"/>
    </row>
    <row r="11" spans="1:6" s="1" customFormat="1" x14ac:dyDescent="0.2">
      <c r="A11" s="12"/>
      <c r="B11" s="485">
        <v>0.75</v>
      </c>
      <c r="C11" s="778">
        <f>ROUND(86591.33+5000,2)</f>
        <v>91591.33</v>
      </c>
      <c r="D11" s="779">
        <f>ROUND(103334.12+5000,2)</f>
        <v>108334.12</v>
      </c>
      <c r="E11" s="12"/>
    </row>
    <row r="12" spans="1:6" s="1" customFormat="1" x14ac:dyDescent="0.2">
      <c r="A12" s="12"/>
      <c r="B12" s="485">
        <v>0.8</v>
      </c>
      <c r="C12" s="778">
        <f>ROUND(85031.43+5000,2)</f>
        <v>90031.43</v>
      </c>
      <c r="D12" s="779">
        <f>ROUND(101325.92+5000,2)</f>
        <v>106325.92</v>
      </c>
      <c r="E12" s="12"/>
    </row>
    <row r="13" spans="1:6" s="1" customFormat="1" x14ac:dyDescent="0.2">
      <c r="A13" s="12"/>
      <c r="B13" s="485">
        <v>0.85</v>
      </c>
      <c r="C13" s="778">
        <f>ROUND(83655.55+5000,2)</f>
        <v>88655.55</v>
      </c>
      <c r="D13" s="779">
        <f>ROUND(99554.67+5000,2)</f>
        <v>104554.67</v>
      </c>
      <c r="E13" s="12"/>
    </row>
    <row r="14" spans="1:6" s="1" customFormat="1" x14ac:dyDescent="0.2">
      <c r="A14" s="12"/>
      <c r="B14" s="485">
        <v>0.9</v>
      </c>
      <c r="C14" s="778">
        <f>ROUND(82580.59+5000,2)</f>
        <v>87580.59</v>
      </c>
      <c r="D14" s="779">
        <f>ROUND(98170.76+5000,2)</f>
        <v>103170.76</v>
      </c>
      <c r="E14" s="12"/>
    </row>
    <row r="15" spans="1:6" s="1" customFormat="1" x14ac:dyDescent="0.2">
      <c r="A15" s="12"/>
      <c r="B15" s="485">
        <v>0.95</v>
      </c>
      <c r="C15" s="778">
        <f>ROUND(81537.71+5000,2)</f>
        <v>86537.71</v>
      </c>
      <c r="D15" s="779">
        <f>ROUND(96828.23+5000,2)</f>
        <v>101828.23</v>
      </c>
      <c r="E15" s="12"/>
    </row>
    <row r="16" spans="1:6" s="1" customFormat="1" x14ac:dyDescent="0.2">
      <c r="A16" s="12"/>
      <c r="B16" s="485">
        <v>1</v>
      </c>
      <c r="C16" s="778">
        <f>ROUND(80164.78+5000,2)</f>
        <v>85164.78</v>
      </c>
      <c r="D16" s="779">
        <f>ROUND(95060.71+5000,2)</f>
        <v>100060.71</v>
      </c>
      <c r="E16" s="12"/>
    </row>
    <row r="17" spans="1:5" s="1" customFormat="1" x14ac:dyDescent="0.2">
      <c r="A17" s="12"/>
      <c r="B17" s="485">
        <v>1.1000000000000001</v>
      </c>
      <c r="C17" s="778">
        <f>ROUND(77153.08+5000,2)</f>
        <v>82153.08</v>
      </c>
      <c r="D17" s="779">
        <f>ROUND(91183.49+5000,2)</f>
        <v>96183.49</v>
      </c>
      <c r="E17" s="12"/>
    </row>
    <row r="18" spans="1:5" s="1" customFormat="1" x14ac:dyDescent="0.2">
      <c r="A18" s="12"/>
      <c r="B18" s="485">
        <v>1.2</v>
      </c>
      <c r="C18" s="778">
        <f>ROUND(75780.11+5000,2)</f>
        <v>80780.11</v>
      </c>
      <c r="D18" s="779">
        <f>ROUND(89416+5000,2)</f>
        <v>94416</v>
      </c>
      <c r="E18" s="12"/>
    </row>
    <row r="19" spans="1:5" s="1" customFormat="1" x14ac:dyDescent="0.2">
      <c r="A19" s="12"/>
      <c r="B19" s="485">
        <v>1.3</v>
      </c>
      <c r="C19" s="778">
        <f>ROUND(74664.21+5000,2)</f>
        <v>79664.210000000006</v>
      </c>
      <c r="D19" s="779">
        <f>ROUND(87979.39+5000,2)</f>
        <v>92979.39</v>
      </c>
      <c r="E19" s="12"/>
    </row>
    <row r="20" spans="1:5" s="1" customFormat="1" x14ac:dyDescent="0.2">
      <c r="A20" s="12"/>
      <c r="B20" s="485">
        <v>1.4</v>
      </c>
      <c r="C20" s="778">
        <f>ROUND(74319.75+5000,2)</f>
        <v>79319.75</v>
      </c>
      <c r="D20" s="779">
        <f>ROUND(87535.97+5000,2)</f>
        <v>92535.97</v>
      </c>
      <c r="E20" s="12"/>
    </row>
    <row r="21" spans="1:5" s="1" customFormat="1" x14ac:dyDescent="0.2">
      <c r="A21" s="12"/>
      <c r="B21" s="575">
        <v>1.5</v>
      </c>
      <c r="C21" s="778">
        <f>ROUND(73988.09+5000,2)</f>
        <v>78988.09</v>
      </c>
      <c r="D21" s="779">
        <f>ROUND(87108.99+5000,2)</f>
        <v>92108.99</v>
      </c>
      <c r="E21" s="12"/>
    </row>
    <row r="22" spans="1:5" s="1" customFormat="1" x14ac:dyDescent="0.2">
      <c r="A22" s="12"/>
      <c r="B22" s="576">
        <v>2.2000000000000002</v>
      </c>
      <c r="C22" s="780">
        <f>ROUND(73691.73+5000,2)</f>
        <v>78691.73</v>
      </c>
      <c r="D22" s="781">
        <f>ROUND(86727.44+5000,2)</f>
        <v>91727.44</v>
      </c>
      <c r="E22" s="12"/>
    </row>
    <row r="23" spans="1:5" s="1" customFormat="1" x14ac:dyDescent="0.2">
      <c r="A23" s="12"/>
      <c r="B23" s="540" t="s">
        <v>393</v>
      </c>
      <c r="C23" s="539"/>
      <c r="D23" s="539"/>
      <c r="E23" s="12"/>
    </row>
    <row r="24" spans="1:5" s="1" customFormat="1" x14ac:dyDescent="0.2">
      <c r="A24" s="12"/>
      <c r="B24" s="91" t="s">
        <v>394</v>
      </c>
      <c r="C24" s="489"/>
      <c r="D24" s="489"/>
      <c r="E24" s="12"/>
    </row>
    <row r="25" spans="1:5" s="1" customFormat="1" x14ac:dyDescent="0.2">
      <c r="A25" s="13"/>
      <c r="B25" s="91" t="s">
        <v>395</v>
      </c>
      <c r="C25" s="489"/>
      <c r="D25" s="489"/>
      <c r="E25" s="13"/>
    </row>
    <row r="26" spans="1:5" s="1" customFormat="1" x14ac:dyDescent="0.2">
      <c r="A26" s="13"/>
      <c r="B26" s="26"/>
      <c r="C26" s="12"/>
      <c r="D26" s="7"/>
      <c r="E26" s="13"/>
    </row>
    <row r="27" spans="1:5" s="1" customFormat="1" x14ac:dyDescent="0.2">
      <c r="A27" s="13"/>
      <c r="B27" s="35" t="s">
        <v>79</v>
      </c>
      <c r="C27" s="13"/>
      <c r="D27" s="13"/>
      <c r="E27" s="13"/>
    </row>
    <row r="28" spans="1:5" s="1" customFormat="1" x14ac:dyDescent="0.2">
      <c r="A28" s="13"/>
      <c r="B28" s="109" t="s">
        <v>396</v>
      </c>
      <c r="C28" s="13"/>
      <c r="D28" s="13"/>
      <c r="E28" s="13"/>
    </row>
    <row r="29" spans="1:5" s="1" customFormat="1" x14ac:dyDescent="0.2">
      <c r="A29" s="13"/>
      <c r="B29" s="35"/>
      <c r="C29" s="13"/>
      <c r="D29" s="13"/>
      <c r="E29" s="13"/>
    </row>
    <row r="30" spans="1:5" s="1" customFormat="1" ht="13.15" customHeight="1" x14ac:dyDescent="0.2">
      <c r="A30" s="134"/>
      <c r="B30" s="13" t="s">
        <v>397</v>
      </c>
      <c r="C30" s="13"/>
      <c r="D30" s="13"/>
      <c r="E30" s="134"/>
    </row>
    <row r="31" spans="1:5" s="1" customFormat="1" x14ac:dyDescent="0.2">
      <c r="A31" s="134"/>
      <c r="B31" s="13" t="s">
        <v>398</v>
      </c>
      <c r="C31" s="13"/>
      <c r="D31" s="13"/>
      <c r="E31" s="134"/>
    </row>
    <row r="32" spans="1:5" s="1" customFormat="1" ht="6" customHeight="1" x14ac:dyDescent="0.2">
      <c r="A32" s="13"/>
      <c r="B32" s="550" t="s">
        <v>399</v>
      </c>
      <c r="C32" s="550"/>
      <c r="D32" s="550"/>
      <c r="E32" s="13"/>
    </row>
    <row r="33" spans="1:5" s="1" customFormat="1" x14ac:dyDescent="0.2">
      <c r="A33" s="13"/>
      <c r="B33" s="550" t="s">
        <v>402</v>
      </c>
      <c r="C33" s="550"/>
      <c r="D33" s="550"/>
      <c r="E33" s="13"/>
    </row>
    <row r="34" spans="1:5" s="1" customFormat="1" x14ac:dyDescent="0.2">
      <c r="A34" s="13"/>
      <c r="B34" s="13"/>
      <c r="C34" s="13"/>
      <c r="D34" s="13"/>
      <c r="E34" s="13"/>
    </row>
    <row r="35" spans="1:5" s="1" customFormat="1" x14ac:dyDescent="0.2">
      <c r="A35" s="13"/>
      <c r="B35" s="598" t="s">
        <v>421</v>
      </c>
      <c r="C35" s="597" t="s">
        <v>418</v>
      </c>
      <c r="D35" s="13"/>
      <c r="E35" s="13"/>
    </row>
    <row r="36" spans="1:5" s="1" customFormat="1" x14ac:dyDescent="0.2">
      <c r="A36" s="12"/>
      <c r="B36" s="485" t="s">
        <v>29</v>
      </c>
      <c r="C36" s="586">
        <v>0.97</v>
      </c>
      <c r="D36" s="13"/>
      <c r="E36" s="12"/>
    </row>
    <row r="37" spans="1:5" s="1" customFormat="1" x14ac:dyDescent="0.2">
      <c r="A37" s="12"/>
      <c r="B37" s="595" t="s">
        <v>78</v>
      </c>
      <c r="C37" s="596">
        <v>1.2</v>
      </c>
      <c r="D37" s="13"/>
      <c r="E37" s="12"/>
    </row>
    <row r="38" spans="1:5" s="1" customFormat="1" x14ac:dyDescent="0.2">
      <c r="A38" s="12"/>
      <c r="B38" s="26"/>
      <c r="C38" s="12"/>
      <c r="D38" s="7"/>
      <c r="E38" s="12"/>
    </row>
    <row r="39" spans="1:5" x14ac:dyDescent="0.2">
      <c r="B39" s="130" t="s">
        <v>400</v>
      </c>
      <c r="C39" s="129"/>
      <c r="D39" s="18"/>
    </row>
    <row r="40" spans="1:5" x14ac:dyDescent="0.2">
      <c r="B40" s="28" t="s">
        <v>401</v>
      </c>
      <c r="C40" s="12"/>
      <c r="D40" s="131"/>
    </row>
  </sheetData>
  <phoneticPr fontId="0" type="noConversion"/>
  <hyperlinks>
    <hyperlink ref="F1" location="'2'!A1" display="Оглавление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&amp;A</oddHeader>
  </headerFooter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I44"/>
  <sheetViews>
    <sheetView showGridLines="0" showRowColHeaders="0" view="pageBreakPreview" zoomScaleNormal="75" zoomScaleSheetLayoutView="100" workbookViewId="0"/>
  </sheetViews>
  <sheetFormatPr defaultColWidth="8.85546875" defaultRowHeight="12.75" x14ac:dyDescent="0.2"/>
  <cols>
    <col min="1" max="1" width="5.7109375" style="20" customWidth="1"/>
    <col min="2" max="2" width="18.7109375" style="20" customWidth="1"/>
    <col min="3" max="3" width="14.7109375" style="20" customWidth="1"/>
    <col min="4" max="4" width="10.140625" style="20" bestFit="1" customWidth="1"/>
    <col min="5" max="7" width="12.7109375" style="20" customWidth="1"/>
    <col min="8" max="8" width="14.7109375" style="20" customWidth="1"/>
    <col min="9" max="16384" width="8.85546875" style="20"/>
  </cols>
  <sheetData>
    <row r="1" spans="2:9" x14ac:dyDescent="0.2">
      <c r="B1" s="27"/>
      <c r="C1" s="248">
        <v>43332</v>
      </c>
      <c r="E1" s="64"/>
      <c r="F1" s="64"/>
      <c r="G1" s="64"/>
      <c r="H1" s="248">
        <v>43332</v>
      </c>
      <c r="I1" s="249" t="s">
        <v>162</v>
      </c>
    </row>
    <row r="2" spans="2:9" ht="18" customHeight="1" x14ac:dyDescent="0.2">
      <c r="B2" s="27"/>
      <c r="C2" s="599" t="s">
        <v>403</v>
      </c>
      <c r="G2" s="64"/>
      <c r="H2" s="599" t="s">
        <v>404</v>
      </c>
      <c r="I2" s="249"/>
    </row>
    <row r="3" spans="2:9" ht="38.25" x14ac:dyDescent="0.2">
      <c r="B3" s="600" t="s">
        <v>189</v>
      </c>
      <c r="C3" s="601"/>
      <c r="G3" s="600" t="s">
        <v>154</v>
      </c>
      <c r="H3" s="600"/>
      <c r="I3" s="249"/>
    </row>
    <row r="4" spans="2:9" ht="13.15" customHeight="1" x14ac:dyDescent="0.2">
      <c r="B4" s="450" t="s">
        <v>287</v>
      </c>
      <c r="C4" s="434" t="s">
        <v>368</v>
      </c>
      <c r="G4" s="450" t="s">
        <v>287</v>
      </c>
      <c r="H4" s="434" t="s">
        <v>368</v>
      </c>
      <c r="I4" s="249"/>
    </row>
    <row r="5" spans="2:9" x14ac:dyDescent="0.2">
      <c r="B5" s="552">
        <v>1.5</v>
      </c>
      <c r="C5" s="771">
        <f>ROUND(82303.68+5000,2)</f>
        <v>87303.679999999993</v>
      </c>
      <c r="G5" s="602">
        <v>0.5</v>
      </c>
      <c r="H5" s="772">
        <f>ROUND(116445.42+5000,2)</f>
        <v>121445.42</v>
      </c>
      <c r="I5" s="249"/>
    </row>
    <row r="6" spans="2:9" x14ac:dyDescent="0.2">
      <c r="B6" s="552">
        <v>1.6</v>
      </c>
      <c r="C6" s="771">
        <f>ROUND(81646.76+5000,2)</f>
        <v>86646.76</v>
      </c>
      <c r="G6" s="602">
        <v>0.6</v>
      </c>
      <c r="H6" s="772">
        <f>ROUND(97210.14+5000,2)</f>
        <v>102210.14</v>
      </c>
      <c r="I6" s="249"/>
    </row>
    <row r="7" spans="2:9" x14ac:dyDescent="0.2">
      <c r="B7" s="552">
        <v>1.7</v>
      </c>
      <c r="C7" s="771">
        <f>ROUND(80583.13+5000,2)</f>
        <v>85583.13</v>
      </c>
      <c r="G7" s="602">
        <v>1.6</v>
      </c>
      <c r="H7" s="772">
        <f>ROUND(76922+5000,2)</f>
        <v>81922</v>
      </c>
      <c r="I7" s="249"/>
    </row>
    <row r="8" spans="2:9" x14ac:dyDescent="0.2">
      <c r="B8" s="552">
        <v>1.8</v>
      </c>
      <c r="C8" s="771">
        <f>ROUND(79894.9+5000,2)</f>
        <v>84894.9</v>
      </c>
      <c r="G8" s="602">
        <v>1.8</v>
      </c>
      <c r="H8" s="772">
        <f>ROUND(75344.91+5000,2)</f>
        <v>80344.91</v>
      </c>
      <c r="I8" s="249"/>
    </row>
    <row r="9" spans="2:9" x14ac:dyDescent="0.2">
      <c r="B9" s="552">
        <v>1.9</v>
      </c>
      <c r="C9" s="771">
        <f>ROUND(79769.79+5000,2)</f>
        <v>84769.79</v>
      </c>
      <c r="G9" s="602">
        <v>2</v>
      </c>
      <c r="H9" s="772">
        <f>ROUND(74348.87+5000,2)</f>
        <v>79348.87</v>
      </c>
      <c r="I9" s="249"/>
    </row>
    <row r="10" spans="2:9" x14ac:dyDescent="0.2">
      <c r="B10" s="552">
        <v>2</v>
      </c>
      <c r="C10" s="771">
        <f>ROUND(79112.85+5000,2)</f>
        <v>84112.85</v>
      </c>
      <c r="G10" s="602">
        <v>2.5</v>
      </c>
      <c r="H10" s="772">
        <f>ROUND(71663.86+5000,2)</f>
        <v>76663.86</v>
      </c>
      <c r="I10" s="249"/>
    </row>
    <row r="11" spans="2:9" x14ac:dyDescent="0.2">
      <c r="B11" s="552">
        <v>2.1</v>
      </c>
      <c r="C11" s="771">
        <f>ROUND(78549.75+5000,2)</f>
        <v>83549.75</v>
      </c>
      <c r="G11" s="602">
        <v>3</v>
      </c>
      <c r="H11" s="772">
        <f>ROUND(70305.29+5000,2)</f>
        <v>75305.289999999994</v>
      </c>
      <c r="I11" s="249"/>
    </row>
    <row r="12" spans="2:9" x14ac:dyDescent="0.2">
      <c r="B12" s="603">
        <v>2.2000000000000002</v>
      </c>
      <c r="C12" s="771">
        <f>ROUND(78424.61+5000,2)</f>
        <v>83424.61</v>
      </c>
      <c r="G12" s="602">
        <v>3.5</v>
      </c>
      <c r="H12" s="772">
        <f>ROUND(69258.64+5000,2)</f>
        <v>74258.64</v>
      </c>
      <c r="I12" s="249"/>
    </row>
    <row r="13" spans="2:9" x14ac:dyDescent="0.2">
      <c r="B13" s="604">
        <v>2.4</v>
      </c>
      <c r="C13" s="771">
        <f>ROUND(77768.72+5000,2)</f>
        <v>82768.72</v>
      </c>
      <c r="G13" s="602">
        <v>4</v>
      </c>
      <c r="H13" s="772">
        <f>ROUND(68790.73+5000,2)</f>
        <v>73790.73</v>
      </c>
      <c r="I13" s="249"/>
    </row>
    <row r="14" spans="2:9" x14ac:dyDescent="0.2">
      <c r="B14" s="552">
        <v>2.5</v>
      </c>
      <c r="C14" s="771">
        <f>ROUND(77361+5000,2)</f>
        <v>82361</v>
      </c>
      <c r="G14" s="605">
        <v>4.2</v>
      </c>
      <c r="H14" s="773">
        <f>ROUND(68689.63+5000,2)</f>
        <v>73689.63</v>
      </c>
      <c r="I14" s="249"/>
    </row>
    <row r="15" spans="2:9" x14ac:dyDescent="0.2">
      <c r="B15" s="606">
        <v>2.6</v>
      </c>
      <c r="C15" s="771">
        <f>ROUND(76954.32+5000,2)</f>
        <v>81954.320000000007</v>
      </c>
      <c r="E15" s="19"/>
      <c r="F15" s="19"/>
      <c r="G15" s="19"/>
      <c r="H15" s="19"/>
      <c r="I15" s="249"/>
    </row>
    <row r="16" spans="2:9" x14ac:dyDescent="0.2">
      <c r="B16" s="607">
        <v>2.8</v>
      </c>
      <c r="C16" s="771">
        <f>ROUND(76704.06+5000,2)</f>
        <v>81704.06</v>
      </c>
      <c r="G16" s="608" t="s">
        <v>421</v>
      </c>
      <c r="H16" s="608" t="s">
        <v>418</v>
      </c>
      <c r="I16" s="249"/>
    </row>
    <row r="17" spans="1:9" x14ac:dyDescent="0.2">
      <c r="B17" s="609">
        <v>3</v>
      </c>
      <c r="C17" s="771">
        <f>ROUND(76172.23+5000,2)</f>
        <v>81172.23</v>
      </c>
      <c r="G17" s="633" t="s">
        <v>423</v>
      </c>
      <c r="H17" s="66">
        <f>'3'!E26</f>
        <v>0.1</v>
      </c>
      <c r="I17" s="249"/>
    </row>
    <row r="18" spans="1:9" x14ac:dyDescent="0.2">
      <c r="B18" s="610">
        <v>3.2</v>
      </c>
      <c r="C18" s="771">
        <f>ROUND(75890.69+5000,2)</f>
        <v>80890.69</v>
      </c>
      <c r="G18" s="634" t="s">
        <v>424</v>
      </c>
      <c r="H18" s="628">
        <f>'3'!E29</f>
        <v>1500</v>
      </c>
      <c r="I18" s="249"/>
    </row>
    <row r="19" spans="1:9" x14ac:dyDescent="0.2">
      <c r="B19" s="611">
        <v>3.4</v>
      </c>
      <c r="C19" s="771">
        <f>ROUND(75358.87+5000,2)</f>
        <v>80358.87</v>
      </c>
      <c r="E19" s="19"/>
      <c r="F19" s="19"/>
      <c r="G19" s="19"/>
      <c r="H19" s="19"/>
      <c r="I19" s="249"/>
    </row>
    <row r="20" spans="1:9" x14ac:dyDescent="0.2">
      <c r="B20" s="612">
        <v>3.6</v>
      </c>
      <c r="C20" s="771">
        <f>ROUND(75077.34+5000,2)</f>
        <v>80077.34</v>
      </c>
      <c r="E20" s="13"/>
      <c r="F20" s="13"/>
      <c r="G20" s="13"/>
      <c r="H20" s="13"/>
      <c r="I20" s="249"/>
    </row>
    <row r="21" spans="1:9" ht="13.15" customHeight="1" x14ac:dyDescent="0.2">
      <c r="B21" s="613">
        <v>3.8</v>
      </c>
      <c r="C21" s="771">
        <f>ROUND(74952.2+5000,2)</f>
        <v>79952.2</v>
      </c>
      <c r="E21" s="13"/>
      <c r="F21" s="13"/>
      <c r="G21" s="13"/>
      <c r="H21" s="13"/>
      <c r="I21" s="249"/>
    </row>
    <row r="22" spans="1:9" x14ac:dyDescent="0.2">
      <c r="B22" s="614">
        <v>4</v>
      </c>
      <c r="C22" s="771">
        <f>ROUND(74827.09+5000,2)</f>
        <v>79827.09</v>
      </c>
      <c r="E22" s="13"/>
      <c r="F22" s="13"/>
      <c r="H22" s="248">
        <v>43332</v>
      </c>
      <c r="I22" s="249"/>
    </row>
    <row r="23" spans="1:9" x14ac:dyDescent="0.2">
      <c r="B23" s="615">
        <v>4.2</v>
      </c>
      <c r="C23" s="771">
        <f>ROUND(74420.39+5000,2)</f>
        <v>79420.39</v>
      </c>
      <c r="E23" s="13"/>
      <c r="F23" s="13"/>
      <c r="G23" s="162"/>
      <c r="H23" s="625" t="s">
        <v>422</v>
      </c>
      <c r="I23" s="249"/>
    </row>
    <row r="24" spans="1:9" x14ac:dyDescent="0.2">
      <c r="B24" s="616">
        <v>4.8</v>
      </c>
      <c r="C24" s="771">
        <f>ROUND(74013.71+5000,2)</f>
        <v>79013.710000000006</v>
      </c>
      <c r="E24" s="13"/>
      <c r="F24" s="13"/>
      <c r="G24" s="450" t="s">
        <v>287</v>
      </c>
      <c r="H24" s="434" t="s">
        <v>368</v>
      </c>
      <c r="I24" s="249"/>
    </row>
    <row r="25" spans="1:9" x14ac:dyDescent="0.2">
      <c r="B25" s="617">
        <v>5.3</v>
      </c>
      <c r="C25" s="771">
        <f>ROUND(73763.44+5000,2)</f>
        <v>78763.44</v>
      </c>
      <c r="E25" s="13"/>
      <c r="F25" s="13"/>
      <c r="G25" s="627">
        <v>5</v>
      </c>
      <c r="H25" s="774">
        <f>ROUND(58324+4000,2)</f>
        <v>62324</v>
      </c>
      <c r="I25" s="249"/>
    </row>
    <row r="26" spans="1:9" x14ac:dyDescent="0.2">
      <c r="B26" s="618">
        <v>6</v>
      </c>
      <c r="C26" s="775">
        <f>ROUND(73356.75+5000,2)</f>
        <v>78356.75</v>
      </c>
      <c r="E26" s="13"/>
      <c r="F26" s="13"/>
      <c r="G26" s="13"/>
      <c r="H26" s="13"/>
      <c r="I26" s="249"/>
    </row>
    <row r="27" spans="1:9" x14ac:dyDescent="0.2">
      <c r="E27" s="13"/>
      <c r="F27" s="13"/>
      <c r="G27" s="13"/>
      <c r="H27" s="13"/>
      <c r="I27" s="249"/>
    </row>
    <row r="28" spans="1:9" x14ac:dyDescent="0.2">
      <c r="C28" s="248">
        <v>43332</v>
      </c>
      <c r="D28" s="619"/>
      <c r="E28" s="13"/>
      <c r="F28" s="13"/>
      <c r="G28" s="13"/>
      <c r="H28" s="13"/>
      <c r="I28" s="249"/>
    </row>
    <row r="29" spans="1:9" ht="27.75" customHeight="1" x14ac:dyDescent="0.2">
      <c r="B29" s="732" t="s">
        <v>215</v>
      </c>
      <c r="C29" s="620" t="s">
        <v>30</v>
      </c>
      <c r="D29" s="621"/>
      <c r="E29" s="13"/>
      <c r="F29" s="13"/>
      <c r="G29" s="13"/>
      <c r="H29" s="13"/>
    </row>
    <row r="30" spans="1:9" x14ac:dyDescent="0.2">
      <c r="A30" s="136"/>
      <c r="B30" s="450" t="s">
        <v>287</v>
      </c>
      <c r="C30" s="434" t="s">
        <v>368</v>
      </c>
      <c r="E30" s="13"/>
      <c r="F30" s="13"/>
      <c r="G30" s="13"/>
      <c r="H30" s="13"/>
    </row>
    <row r="31" spans="1:9" x14ac:dyDescent="0.2">
      <c r="A31" s="136"/>
      <c r="B31" s="330">
        <v>1.2</v>
      </c>
      <c r="C31" s="776">
        <f>ROUND(54332+4300,2)</f>
        <v>58632</v>
      </c>
      <c r="E31" s="13"/>
      <c r="F31" s="13"/>
      <c r="G31" s="13"/>
      <c r="H31" s="13"/>
    </row>
    <row r="32" spans="1:9" x14ac:dyDescent="0.2">
      <c r="A32" s="136"/>
      <c r="B32" s="330">
        <v>1.4</v>
      </c>
      <c r="C32" s="776">
        <f>ROUND(50015+4300,2)</f>
        <v>54315</v>
      </c>
      <c r="E32" s="622"/>
      <c r="F32" s="622"/>
      <c r="G32" s="623"/>
      <c r="H32" s="623"/>
    </row>
    <row r="33" spans="1:6" ht="13.15" customHeight="1" x14ac:dyDescent="0.2">
      <c r="A33" s="136"/>
      <c r="B33" s="624">
        <v>2</v>
      </c>
      <c r="C33" s="776">
        <f>ROUND(46540+4300,2)</f>
        <v>50840</v>
      </c>
    </row>
    <row r="34" spans="1:6" ht="12.75" customHeight="1" x14ac:dyDescent="0.2">
      <c r="A34" s="136"/>
      <c r="B34" s="422">
        <v>3</v>
      </c>
      <c r="C34" s="776">
        <f>ROUND(45870+4300,2)</f>
        <v>50170</v>
      </c>
      <c r="E34" s="163"/>
      <c r="F34" s="163"/>
    </row>
    <row r="35" spans="1:6" x14ac:dyDescent="0.2">
      <c r="A35" s="136"/>
      <c r="B35" s="626">
        <v>4</v>
      </c>
      <c r="C35" s="777">
        <f>ROUND(45620+4300,2)</f>
        <v>49920</v>
      </c>
      <c r="E35" s="163"/>
      <c r="F35" s="163"/>
    </row>
    <row r="36" spans="1:6" x14ac:dyDescent="0.2">
      <c r="A36" s="136"/>
      <c r="B36" s="19"/>
      <c r="C36" s="19"/>
    </row>
    <row r="37" spans="1:6" x14ac:dyDescent="0.2">
      <c r="D37" s="722">
        <v>43332</v>
      </c>
    </row>
    <row r="38" spans="1:6" ht="48" customHeight="1" x14ac:dyDescent="0.2">
      <c r="B38" s="723" t="s">
        <v>477</v>
      </c>
      <c r="C38" s="822" t="s">
        <v>478</v>
      </c>
      <c r="D38" s="823"/>
    </row>
    <row r="39" spans="1:6" x14ac:dyDescent="0.2">
      <c r="B39" s="450" t="s">
        <v>287</v>
      </c>
      <c r="C39" s="724" t="s">
        <v>368</v>
      </c>
      <c r="D39" s="335"/>
    </row>
    <row r="40" spans="1:6" x14ac:dyDescent="0.2">
      <c r="B40" s="725">
        <v>2.57</v>
      </c>
      <c r="C40" s="800">
        <f>ROUND(60200+5000,2)</f>
        <v>65200</v>
      </c>
      <c r="D40" s="335"/>
    </row>
    <row r="41" spans="1:6" x14ac:dyDescent="0.2">
      <c r="B41" s="726">
        <v>2.9</v>
      </c>
      <c r="C41" s="800">
        <f>ROUND(59700+5000,2)</f>
        <v>64700</v>
      </c>
      <c r="D41" s="335"/>
    </row>
    <row r="42" spans="1:6" x14ac:dyDescent="0.2">
      <c r="B42" s="727">
        <v>3.1</v>
      </c>
      <c r="C42" s="800">
        <f>ROUND(58800+5000,2)</f>
        <v>63800</v>
      </c>
      <c r="D42" s="335"/>
    </row>
    <row r="43" spans="1:6" x14ac:dyDescent="0.2">
      <c r="B43" s="728">
        <v>3.8</v>
      </c>
      <c r="C43" s="800">
        <f>ROUND(57900+5000,2)</f>
        <v>62900</v>
      </c>
      <c r="D43" s="335"/>
    </row>
    <row r="44" spans="1:6" x14ac:dyDescent="0.2">
      <c r="B44" s="729">
        <v>5</v>
      </c>
      <c r="C44" s="801">
        <f>ROUND(57500+5000,2)</f>
        <v>62500</v>
      </c>
      <c r="D44" s="335"/>
    </row>
  </sheetData>
  <mergeCells count="1">
    <mergeCell ref="C38:D38"/>
  </mergeCells>
  <phoneticPr fontId="0" type="noConversion"/>
  <hyperlinks>
    <hyperlink ref="I1" location="'2'!A1" display="Оглавление"/>
  </hyperlinks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>
    <oddHeader>&amp;A</oddHeader>
  </headerFooter>
  <ignoredErrors>
    <ignoredError sqref="H17" calculatedColumn="1"/>
  </ignoredErrors>
  <drawing r:id="rId2"/>
  <tableParts count="6">
    <tablePart r:id="rId3"/>
    <tablePart r:id="rId4"/>
    <tablePart r:id="rId5"/>
    <tablePart r:id="rId6"/>
    <tablePart r:id="rId7"/>
    <tablePart r:id="rId8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G65"/>
  <sheetViews>
    <sheetView showGridLines="0" view="pageBreakPreview" topLeftCell="A46" zoomScaleNormal="55" zoomScaleSheetLayoutView="100" workbookViewId="0"/>
  </sheetViews>
  <sheetFormatPr defaultColWidth="8.85546875" defaultRowHeight="12.75" x14ac:dyDescent="0.2"/>
  <cols>
    <col min="1" max="1" width="5.7109375" style="19" customWidth="1"/>
    <col min="2" max="2" width="18" style="19" customWidth="1"/>
    <col min="3" max="3" width="13.140625" style="19" customWidth="1"/>
    <col min="4" max="4" width="13.140625" style="259" customWidth="1"/>
    <col min="5" max="6" width="13.140625" style="19" customWidth="1"/>
    <col min="7" max="16384" width="8.85546875" style="19"/>
  </cols>
  <sheetData>
    <row r="1" spans="1:7" x14ac:dyDescent="0.2">
      <c r="C1" s="259"/>
      <c r="D1" s="19"/>
      <c r="E1" s="296">
        <v>43377</v>
      </c>
      <c r="G1" s="249" t="s">
        <v>162</v>
      </c>
    </row>
    <row r="2" spans="1:7" ht="15.75" x14ac:dyDescent="0.2">
      <c r="B2" s="810" t="s">
        <v>146</v>
      </c>
      <c r="C2" s="320"/>
      <c r="D2" s="320"/>
      <c r="E2" s="320"/>
      <c r="F2" s="297"/>
    </row>
    <row r="3" spans="1:7" ht="12" customHeight="1" x14ac:dyDescent="0.2">
      <c r="B3" s="734"/>
      <c r="C3" s="824" t="s">
        <v>172</v>
      </c>
      <c r="D3" s="825"/>
      <c r="E3" s="826"/>
      <c r="F3" s="297"/>
    </row>
    <row r="4" spans="1:7" s="297" customFormat="1" ht="38.25" x14ac:dyDescent="0.2">
      <c r="B4" s="298" t="s">
        <v>319</v>
      </c>
      <c r="C4" s="299" t="s">
        <v>320</v>
      </c>
      <c r="D4" s="300" t="s">
        <v>321</v>
      </c>
      <c r="E4" s="301" t="s">
        <v>322</v>
      </c>
    </row>
    <row r="5" spans="1:7" ht="13.15" customHeight="1" x14ac:dyDescent="0.2">
      <c r="A5" s="302"/>
      <c r="B5" s="303" t="s">
        <v>147</v>
      </c>
      <c r="C5" s="304">
        <f>ROUND(66556.79+4200,2)</f>
        <v>70756.789999999994</v>
      </c>
      <c r="D5" s="304">
        <f>ROUND(66855.49+4200,2)</f>
        <v>71055.490000000005</v>
      </c>
      <c r="E5" s="305">
        <f>ROUND(63348.69+4200,2)</f>
        <v>67548.69</v>
      </c>
      <c r="F5" s="297"/>
    </row>
    <row r="6" spans="1:7" ht="13.15" customHeight="1" x14ac:dyDescent="0.2">
      <c r="B6" s="303" t="s">
        <v>148</v>
      </c>
      <c r="C6" s="304">
        <f>ROUND(65320.79+4200,2)</f>
        <v>69520.789999999994</v>
      </c>
      <c r="D6" s="304">
        <f>ROUND(65640.09+4200,2)</f>
        <v>69840.09</v>
      </c>
      <c r="E6" s="305">
        <f>ROUND(59185.75+4200,2)</f>
        <v>63385.75</v>
      </c>
      <c r="F6" s="297"/>
    </row>
    <row r="7" spans="1:7" ht="13.15" customHeight="1" x14ac:dyDescent="0.2">
      <c r="B7" s="303" t="s">
        <v>149</v>
      </c>
      <c r="C7" s="304">
        <f>ROUND(57065.34+4200,2)</f>
        <v>61265.34</v>
      </c>
      <c r="D7" s="304">
        <f>ROUND(62477.99+4200,2)</f>
        <v>66677.990000000005</v>
      </c>
      <c r="E7" s="305">
        <f>ROUND(54821.51+4200,2)</f>
        <v>59021.51</v>
      </c>
      <c r="F7" s="297"/>
    </row>
    <row r="8" spans="1:7" ht="13.15" customHeight="1" x14ac:dyDescent="0.2">
      <c r="B8" s="303" t="s">
        <v>150</v>
      </c>
      <c r="C8" s="304">
        <f>ROUND(58154.7+3000,2)</f>
        <v>61154.7</v>
      </c>
      <c r="D8" s="304">
        <f>ROUND(58491.3+3000,2)</f>
        <v>61491.3</v>
      </c>
      <c r="E8" s="305">
        <f>ROUND(57439.48+3000,2)</f>
        <v>60439.48</v>
      </c>
      <c r="F8" s="297"/>
    </row>
    <row r="9" spans="1:7" ht="13.15" customHeight="1" x14ac:dyDescent="0.2">
      <c r="B9" s="303" t="s">
        <v>262</v>
      </c>
      <c r="C9" s="304">
        <f>ROUND(52824.81+4200,2)</f>
        <v>57024.81</v>
      </c>
      <c r="D9" s="304">
        <f>ROUND(53161.41+4200,2)</f>
        <v>57361.41</v>
      </c>
      <c r="E9" s="305">
        <f>ROUND(52170.27+4200,2)</f>
        <v>56370.27</v>
      </c>
      <c r="F9" s="297"/>
    </row>
    <row r="10" spans="1:7" ht="13.15" customHeight="1" x14ac:dyDescent="0.2">
      <c r="B10" s="303" t="s">
        <v>263</v>
      </c>
      <c r="C10" s="304">
        <f>ROUND(51600.87+4200,2)</f>
        <v>55800.87</v>
      </c>
      <c r="D10" s="304">
        <f>ROUND(51937.47+4200,2)</f>
        <v>56137.47</v>
      </c>
      <c r="E10" s="305">
        <f>ROUND(50977.5+4200,2)</f>
        <v>55177.5</v>
      </c>
      <c r="F10" s="297"/>
    </row>
    <row r="11" spans="1:7" ht="13.15" customHeight="1" x14ac:dyDescent="0.2">
      <c r="B11" s="303" t="s">
        <v>219</v>
      </c>
      <c r="C11" s="304">
        <f>ROUND(49743.37+4200,2)</f>
        <v>53943.37</v>
      </c>
      <c r="D11" s="304">
        <f>ROUND(50079.97+4200,2)</f>
        <v>54279.97</v>
      </c>
      <c r="E11" s="305">
        <f>ROUND(49151.42+4200,2)</f>
        <v>53351.42</v>
      </c>
      <c r="F11" s="297"/>
    </row>
    <row r="12" spans="1:7" ht="13.15" customHeight="1" x14ac:dyDescent="0.2">
      <c r="B12" s="303" t="s">
        <v>220</v>
      </c>
      <c r="C12" s="304">
        <f>ROUND(48768.12+4200,2)</f>
        <v>52968.12</v>
      </c>
      <c r="D12" s="304">
        <f>ROUND(49104.73+4200,2)</f>
        <v>53304.73</v>
      </c>
      <c r="E12" s="305">
        <f>ROUND(48195.1+4200,2)</f>
        <v>52395.1</v>
      </c>
      <c r="F12" s="297"/>
    </row>
    <row r="13" spans="1:7" ht="13.15" customHeight="1" x14ac:dyDescent="0.2">
      <c r="B13" s="303" t="s">
        <v>221</v>
      </c>
      <c r="C13" s="304">
        <f>ROUND(48290.18+4200,2)</f>
        <v>52490.18</v>
      </c>
      <c r="D13" s="304">
        <f>ROUND(48626.79+4200,2)</f>
        <v>52826.79</v>
      </c>
      <c r="E13" s="305">
        <f>ROUND(47733.83+4200,2)</f>
        <v>51933.83</v>
      </c>
      <c r="F13" s="297"/>
    </row>
    <row r="14" spans="1:7" ht="13.15" customHeight="1" x14ac:dyDescent="0.2">
      <c r="B14" s="303" t="s">
        <v>239</v>
      </c>
      <c r="C14" s="304">
        <f>ROUND(48026.93+4200,2)</f>
        <v>52226.93</v>
      </c>
      <c r="D14" s="304">
        <f>ROUND(48363.53+4200,2)</f>
        <v>52563.53</v>
      </c>
      <c r="E14" s="305">
        <f>ROUND(47468.79+4200,2)</f>
        <v>51668.79</v>
      </c>
      <c r="F14" s="297"/>
    </row>
    <row r="15" spans="1:7" x14ac:dyDescent="0.2">
      <c r="B15" s="306" t="s">
        <v>240</v>
      </c>
      <c r="C15" s="307"/>
      <c r="D15" s="307">
        <f>ROUND(59327.5+4200,2)</f>
        <v>63527.5</v>
      </c>
      <c r="E15" s="308">
        <f>ROUND(52299.3+4200,2)</f>
        <v>56499.3</v>
      </c>
    </row>
    <row r="16" spans="1:7" ht="13.15" customHeight="1" x14ac:dyDescent="0.2">
      <c r="B16" s="309"/>
      <c r="C16" s="310"/>
      <c r="D16" s="162"/>
      <c r="E16" s="162"/>
    </row>
    <row r="17" spans="2:6" ht="13.15" customHeight="1" x14ac:dyDescent="0.2">
      <c r="B17" s="162"/>
      <c r="C17" s="311"/>
      <c r="D17" s="162"/>
      <c r="E17" s="162"/>
    </row>
    <row r="18" spans="2:6" ht="15.75" x14ac:dyDescent="0.2">
      <c r="B18" s="321" t="s">
        <v>71</v>
      </c>
      <c r="C18" s="321"/>
      <c r="D18" s="321"/>
      <c r="E18" s="321"/>
    </row>
    <row r="19" spans="2:6" ht="12.75" customHeight="1" x14ac:dyDescent="0.2">
      <c r="B19" s="734"/>
      <c r="C19" s="824" t="s">
        <v>172</v>
      </c>
      <c r="D19" s="825"/>
      <c r="E19" s="826"/>
    </row>
    <row r="20" spans="2:6" ht="38.25" x14ac:dyDescent="0.2">
      <c r="B20" s="298" t="s">
        <v>319</v>
      </c>
      <c r="C20" s="299" t="s">
        <v>320</v>
      </c>
      <c r="D20" s="300" t="s">
        <v>321</v>
      </c>
      <c r="E20" s="301" t="s">
        <v>322</v>
      </c>
    </row>
    <row r="21" spans="2:6" ht="13.15" customHeight="1" x14ac:dyDescent="0.2">
      <c r="B21" s="322" t="s">
        <v>325</v>
      </c>
      <c r="C21" s="304">
        <f>ROUND(57753.53+4200,2)</f>
        <v>61953.53</v>
      </c>
      <c r="D21" s="304">
        <f>ROUND(59700.43+4200,2)</f>
        <v>63900.43</v>
      </c>
      <c r="E21" s="305">
        <f>ROUND(56291.72+4200,2)</f>
        <v>60491.72</v>
      </c>
    </row>
    <row r="22" spans="2:6" ht="13.15" customHeight="1" x14ac:dyDescent="0.2">
      <c r="B22" s="322" t="s">
        <v>73</v>
      </c>
      <c r="C22" s="304">
        <f>ROUND(54949.93+4200,2)</f>
        <v>59149.93</v>
      </c>
      <c r="D22" s="304">
        <f>ROUND(57333.5+4200,2)</f>
        <v>61533.5</v>
      </c>
      <c r="E22" s="305">
        <f>ROUND(53652.45+4200,2)</f>
        <v>57852.45</v>
      </c>
    </row>
    <row r="23" spans="2:6" ht="13.15" customHeight="1" x14ac:dyDescent="0.2">
      <c r="B23" s="323" t="s">
        <v>326</v>
      </c>
      <c r="C23" s="307">
        <f>ROUND(53452.31+4200,2)</f>
        <v>57652.31</v>
      </c>
      <c r="D23" s="307">
        <f>ROUND(55953.36+4200,2)</f>
        <v>60153.36</v>
      </c>
      <c r="E23" s="308">
        <f>ROUND(52244.28+4200,2)</f>
        <v>56444.28</v>
      </c>
    </row>
    <row r="24" spans="2:6" ht="13.15" customHeight="1" x14ac:dyDescent="0.2">
      <c r="B24" s="312"/>
      <c r="C24" s="313"/>
      <c r="D24" s="313"/>
      <c r="E24" s="313"/>
      <c r="F24" s="313"/>
    </row>
    <row r="25" spans="2:6" x14ac:dyDescent="0.2">
      <c r="B25" s="312"/>
      <c r="C25" s="314"/>
      <c r="D25" s="314"/>
      <c r="E25" s="314"/>
      <c r="F25" s="314"/>
    </row>
    <row r="26" spans="2:6" ht="15.75" x14ac:dyDescent="0.25">
      <c r="B26" s="324" t="s">
        <v>319</v>
      </c>
      <c r="C26" s="325" t="s">
        <v>320</v>
      </c>
      <c r="D26" s="325" t="s">
        <v>321</v>
      </c>
      <c r="E26" s="325" t="s">
        <v>322</v>
      </c>
    </row>
    <row r="27" spans="2:6" ht="13.15" customHeight="1" x14ac:dyDescent="0.2">
      <c r="B27" s="323" t="s">
        <v>72</v>
      </c>
      <c r="C27" s="307">
        <f>ROUND(54312.67+4200,2)</f>
        <v>58512.67</v>
      </c>
      <c r="D27" s="307">
        <f>ROUND(56795.42+4200,2)</f>
        <v>60995.42</v>
      </c>
      <c r="E27" s="308">
        <v>0</v>
      </c>
    </row>
    <row r="28" spans="2:6" ht="13.15" customHeight="1" x14ac:dyDescent="0.2">
      <c r="B28" s="312"/>
      <c r="C28" s="313"/>
      <c r="D28" s="313"/>
      <c r="E28" s="313"/>
      <c r="F28" s="313"/>
    </row>
    <row r="29" spans="2:6" ht="18" customHeight="1" x14ac:dyDescent="0.2">
      <c r="D29" s="19"/>
    </row>
    <row r="30" spans="2:6" ht="15.75" x14ac:dyDescent="0.25">
      <c r="B30" s="324" t="s">
        <v>319</v>
      </c>
      <c r="C30" s="325" t="s">
        <v>320</v>
      </c>
      <c r="D30" s="325" t="s">
        <v>321</v>
      </c>
      <c r="E30" s="325" t="s">
        <v>322</v>
      </c>
    </row>
    <row r="31" spans="2:6" ht="13.15" customHeight="1" x14ac:dyDescent="0.2">
      <c r="B31" s="322" t="s">
        <v>327</v>
      </c>
      <c r="C31" s="304">
        <f>ROUND(58206.4+4200,2)</f>
        <v>62406.400000000001</v>
      </c>
      <c r="D31" s="304">
        <f>ROUND(60314.38+4200,2)</f>
        <v>64514.38</v>
      </c>
      <c r="E31" s="305">
        <f>ROUND(56918+4200,2)</f>
        <v>61118</v>
      </c>
    </row>
    <row r="32" spans="2:6" ht="13.15" customHeight="1" x14ac:dyDescent="0.2">
      <c r="B32" s="322" t="s">
        <v>74</v>
      </c>
      <c r="C32" s="304">
        <f>ROUND(55156.58+4200,2)</f>
        <v>59356.58</v>
      </c>
      <c r="D32" s="304">
        <f>ROUND(59637.9+4200,2)</f>
        <v>63837.9</v>
      </c>
      <c r="E32" s="305">
        <f>ROUND(56226.97+4200,2)</f>
        <v>60426.97</v>
      </c>
    </row>
    <row r="33" spans="2:6" ht="13.15" customHeight="1" x14ac:dyDescent="0.2">
      <c r="B33" s="322" t="s">
        <v>70</v>
      </c>
      <c r="C33" s="304">
        <f>ROUND(55156.58+4200,2)</f>
        <v>59356.58</v>
      </c>
      <c r="D33" s="304">
        <f>ROUND(59637.9+4200,2)</f>
        <v>63837.9</v>
      </c>
      <c r="E33" s="305">
        <f>ROUND(56226.97+4200,2)</f>
        <v>60426.97</v>
      </c>
    </row>
    <row r="34" spans="2:6" ht="13.15" customHeight="1" x14ac:dyDescent="0.2">
      <c r="B34" s="323" t="s">
        <v>328</v>
      </c>
      <c r="C34" s="307">
        <f>ROUND(55012.94+4200,2)</f>
        <v>59212.94</v>
      </c>
      <c r="D34" s="307">
        <f>ROUND(57468.46+4200,2)</f>
        <v>61668.46</v>
      </c>
      <c r="E34" s="308">
        <f>ROUND(53788.03+4200,2)</f>
        <v>57988.03</v>
      </c>
    </row>
    <row r="35" spans="2:6" ht="13.15" customHeight="1" x14ac:dyDescent="0.2">
      <c r="B35" s="312"/>
      <c r="C35" s="313"/>
      <c r="D35" s="313"/>
      <c r="E35" s="313"/>
      <c r="F35" s="313"/>
    </row>
    <row r="36" spans="2:6" ht="15" customHeight="1" x14ac:dyDescent="0.2">
      <c r="B36" s="312"/>
      <c r="C36" s="314"/>
      <c r="D36" s="314"/>
      <c r="E36" s="314"/>
      <c r="F36" s="314"/>
    </row>
    <row r="37" spans="2:6" ht="15.75" x14ac:dyDescent="0.25">
      <c r="B37" s="324" t="s">
        <v>319</v>
      </c>
      <c r="C37" s="325" t="s">
        <v>320</v>
      </c>
      <c r="D37" s="325" t="s">
        <v>321</v>
      </c>
      <c r="E37" s="325" t="s">
        <v>322</v>
      </c>
    </row>
    <row r="38" spans="2:6" x14ac:dyDescent="0.2">
      <c r="B38" s="322" t="s">
        <v>444</v>
      </c>
      <c r="C38" s="304">
        <f>ROUND(54671.88+4200,2)</f>
        <v>58871.88</v>
      </c>
      <c r="D38" s="304">
        <f>ROUND(54980.88+4200,2)</f>
        <v>59180.88</v>
      </c>
      <c r="E38" s="305"/>
    </row>
    <row r="39" spans="2:6" x14ac:dyDescent="0.2">
      <c r="B39" s="322" t="s">
        <v>471</v>
      </c>
      <c r="C39" s="304">
        <f>ROUND(51812.66+4200,2)</f>
        <v>56012.66</v>
      </c>
      <c r="D39" s="304">
        <f>ROUND(52121.66+4200,2)</f>
        <v>56321.66</v>
      </c>
      <c r="E39" s="305"/>
    </row>
    <row r="40" spans="2:6" ht="13.15" customHeight="1" x14ac:dyDescent="0.2">
      <c r="B40" s="322" t="s">
        <v>75</v>
      </c>
      <c r="C40" s="304">
        <f>ROUND(51812.66+4200,2)</f>
        <v>56012.66</v>
      </c>
      <c r="D40" s="304">
        <f>ROUND(52121.66+4200,2)</f>
        <v>56321.66</v>
      </c>
      <c r="E40" s="305">
        <f>ROUND(50430.8+4200,2)</f>
        <v>54630.8</v>
      </c>
    </row>
    <row r="41" spans="2:6" ht="13.15" customHeight="1" x14ac:dyDescent="0.2">
      <c r="B41" s="323" t="s">
        <v>76</v>
      </c>
      <c r="C41" s="307">
        <f>ROUND(51812.66+4200,2)</f>
        <v>56012.66</v>
      </c>
      <c r="D41" s="307">
        <f>ROUND(52121.66+4200,2)</f>
        <v>56321.66</v>
      </c>
      <c r="E41" s="308">
        <f>ROUND(50430.8+4200,2)</f>
        <v>54630.8</v>
      </c>
    </row>
    <row r="42" spans="2:6" ht="13.15" customHeight="1" x14ac:dyDescent="0.2">
      <c r="B42" s="312"/>
      <c r="C42" s="313"/>
      <c r="D42" s="313"/>
      <c r="E42" s="313"/>
      <c r="F42" s="313"/>
    </row>
    <row r="43" spans="2:6" ht="13.15" customHeight="1" x14ac:dyDescent="0.2">
      <c r="B43" s="312"/>
      <c r="C43" s="314"/>
      <c r="D43" s="314"/>
      <c r="E43" s="314"/>
      <c r="F43" s="314"/>
    </row>
    <row r="44" spans="2:6" ht="15.75" x14ac:dyDescent="0.25">
      <c r="B44" s="324" t="s">
        <v>319</v>
      </c>
      <c r="C44" s="325" t="s">
        <v>320</v>
      </c>
      <c r="D44" s="325" t="s">
        <v>321</v>
      </c>
      <c r="E44" s="325" t="s">
        <v>322</v>
      </c>
    </row>
    <row r="45" spans="2:6" ht="13.35" customHeight="1" x14ac:dyDescent="0.2">
      <c r="B45" s="326" t="s">
        <v>323</v>
      </c>
      <c r="C45" s="304">
        <v>0</v>
      </c>
      <c r="D45" s="304">
        <f>ROUND(73508.09+4200,2)</f>
        <v>77708.09</v>
      </c>
      <c r="E45" s="305">
        <f>ROUND(70730.35+4200,2)</f>
        <v>74930.350000000006</v>
      </c>
    </row>
    <row r="46" spans="2:6" ht="13.15" customHeight="1" x14ac:dyDescent="0.2">
      <c r="B46" s="327" t="s">
        <v>324</v>
      </c>
      <c r="C46" s="304">
        <v>0</v>
      </c>
      <c r="D46" s="304">
        <f>ROUND(69369.79+4200,2)</f>
        <v>73569.789999999994</v>
      </c>
      <c r="E46" s="305">
        <f>ROUND(66751.21+4200,2)</f>
        <v>70951.210000000006</v>
      </c>
    </row>
    <row r="47" spans="2:6" ht="13.15" customHeight="1" x14ac:dyDescent="0.2">
      <c r="B47" s="323" t="s">
        <v>329</v>
      </c>
      <c r="C47" s="307">
        <v>0</v>
      </c>
      <c r="D47" s="307">
        <v>0</v>
      </c>
      <c r="E47" s="308">
        <f>ROUND(66012.96+4200,2)</f>
        <v>70212.960000000006</v>
      </c>
    </row>
    <row r="48" spans="2:6" ht="13.15" customHeight="1" x14ac:dyDescent="0.2">
      <c r="B48" s="312"/>
      <c r="C48" s="313"/>
      <c r="D48" s="313"/>
      <c r="E48" s="313"/>
      <c r="F48" s="313"/>
    </row>
    <row r="49" spans="2:6" ht="13.15" customHeight="1" x14ac:dyDescent="0.2">
      <c r="B49" s="312"/>
      <c r="C49" s="314"/>
      <c r="D49" s="314"/>
      <c r="E49" s="314"/>
      <c r="F49" s="314"/>
    </row>
    <row r="50" spans="2:6" ht="15.75" x14ac:dyDescent="0.25">
      <c r="B50" s="324" t="s">
        <v>319</v>
      </c>
      <c r="C50" s="325" t="s">
        <v>320</v>
      </c>
      <c r="D50" s="325" t="s">
        <v>321</v>
      </c>
      <c r="E50" s="325" t="s">
        <v>322</v>
      </c>
    </row>
    <row r="51" spans="2:6" x14ac:dyDescent="0.2">
      <c r="B51" s="322" t="s">
        <v>256</v>
      </c>
      <c r="C51" s="304">
        <v>0</v>
      </c>
      <c r="D51" s="304">
        <f>ROUND(60655.75+4200,2)</f>
        <v>64855.75</v>
      </c>
      <c r="E51" s="305">
        <f>ROUND(59891.84+4200,2)</f>
        <v>64091.839999999997</v>
      </c>
    </row>
    <row r="52" spans="2:6" x14ac:dyDescent="0.2">
      <c r="B52" s="322" t="s">
        <v>150</v>
      </c>
      <c r="C52" s="304">
        <f>ROUND(60826.99+3000,2)</f>
        <v>63826.99</v>
      </c>
      <c r="D52" s="304">
        <f>ROUND(62866.84+3000,2)</f>
        <v>65866.84</v>
      </c>
      <c r="E52" s="305">
        <f>ROUND(62103.63+3000,2)</f>
        <v>65103.63</v>
      </c>
    </row>
    <row r="53" spans="2:6" ht="13.15" customHeight="1" x14ac:dyDescent="0.2">
      <c r="B53" s="322" t="s">
        <v>182</v>
      </c>
      <c r="C53" s="304">
        <f>ROUND(54991.7+4200,2)</f>
        <v>59191.7</v>
      </c>
      <c r="D53" s="304">
        <f>ROUND(56540.19+4200,2)</f>
        <v>60740.19</v>
      </c>
      <c r="E53" s="305">
        <f>ROUND(56428.67+4200,2)</f>
        <v>60628.67</v>
      </c>
    </row>
    <row r="54" spans="2:6" ht="13.15" customHeight="1" x14ac:dyDescent="0.2">
      <c r="B54" s="323" t="s">
        <v>277</v>
      </c>
      <c r="C54" s="307">
        <f>ROUND(54991.7+4200,2)</f>
        <v>59191.7</v>
      </c>
      <c r="D54" s="307">
        <f>ROUND(56540.19+4200,2)</f>
        <v>60740.19</v>
      </c>
      <c r="E54" s="308">
        <f>ROUND(56428.67+4200,2)</f>
        <v>60628.67</v>
      </c>
    </row>
    <row r="55" spans="2:6" ht="13.15" customHeight="1" x14ac:dyDescent="0.2">
      <c r="B55" s="312"/>
      <c r="C55" s="313"/>
      <c r="D55" s="313"/>
      <c r="E55" s="313"/>
      <c r="F55" s="313"/>
    </row>
    <row r="56" spans="2:6" ht="13.15" customHeight="1" x14ac:dyDescent="0.2">
      <c r="B56" s="312"/>
      <c r="C56" s="313"/>
      <c r="D56" s="313"/>
      <c r="E56" s="313"/>
      <c r="F56" s="313"/>
    </row>
    <row r="57" spans="2:6" ht="15.75" x14ac:dyDescent="0.25">
      <c r="B57" s="324" t="s">
        <v>319</v>
      </c>
      <c r="C57" s="325" t="s">
        <v>320</v>
      </c>
      <c r="D57" s="325" t="s">
        <v>321</v>
      </c>
      <c r="E57" s="325" t="s">
        <v>322</v>
      </c>
    </row>
    <row r="58" spans="2:6" ht="13.15" customHeight="1" x14ac:dyDescent="0.2">
      <c r="B58" s="323" t="s">
        <v>242</v>
      </c>
      <c r="C58" s="307">
        <v>0</v>
      </c>
      <c r="D58" s="307">
        <v>0</v>
      </c>
      <c r="E58" s="308">
        <f>ROUND(58962.54+4200,2)</f>
        <v>63162.54</v>
      </c>
    </row>
    <row r="59" spans="2:6" ht="13.15" customHeight="1" x14ac:dyDescent="0.25">
      <c r="B59" s="315"/>
      <c r="C59" s="315"/>
      <c r="D59" s="315"/>
      <c r="E59" s="315"/>
      <c r="F59" s="315"/>
    </row>
    <row r="60" spans="2:6" ht="13.15" customHeight="1" x14ac:dyDescent="0.2">
      <c r="B60" s="312"/>
      <c r="C60" s="314"/>
      <c r="D60" s="314"/>
      <c r="E60" s="314"/>
      <c r="F60" s="314"/>
    </row>
    <row r="61" spans="2:6" ht="13.15" customHeight="1" x14ac:dyDescent="0.25">
      <c r="B61" s="316" t="s">
        <v>79</v>
      </c>
      <c r="C61" s="137"/>
    </row>
    <row r="62" spans="2:6" ht="13.15" customHeight="1" x14ac:dyDescent="0.2">
      <c r="B62" s="317" t="s">
        <v>173</v>
      </c>
      <c r="C62" s="310">
        <f>565.16*1.03</f>
        <v>582.11479999999995</v>
      </c>
      <c r="D62" s="318" t="s">
        <v>164</v>
      </c>
      <c r="E62" s="318"/>
    </row>
    <row r="63" spans="2:6" ht="13.15" customHeight="1" x14ac:dyDescent="0.2">
      <c r="B63" s="317" t="s">
        <v>468</v>
      </c>
      <c r="E63" s="259"/>
    </row>
    <row r="64" spans="2:6" ht="13.15" customHeight="1" x14ac:dyDescent="0.2"/>
    <row r="65" spans="3:3" ht="13.15" customHeight="1" x14ac:dyDescent="0.2">
      <c r="C65" s="319"/>
    </row>
  </sheetData>
  <mergeCells count="2">
    <mergeCell ref="C3:E3"/>
    <mergeCell ref="C19:E19"/>
  </mergeCells>
  <phoneticPr fontId="0" type="noConversion"/>
  <hyperlinks>
    <hyperlink ref="G1" location="'2'!A1" display="Оглавление"/>
  </hyperlinks>
  <printOptions horizontalCentered="1"/>
  <pageMargins left="0.59055118110236227" right="0.59055118110236227" top="0.55118110236220474" bottom="0.47244094488188981" header="0.15748031496062992" footer="0.23622047244094491"/>
  <pageSetup paperSize="9" scale="80" orientation="portrait" r:id="rId1"/>
  <headerFooter alignWithMargins="0">
    <oddHeader>&amp;A</oddHeader>
  </headerFooter>
  <drawing r:id="rId2"/>
  <tableParts count="8"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СМ Отчет" ma:contentTypeID="0x0101004E6D8CCB0EF6C44CB256F80FEB7416A41400CDE110DC9E22F44FA76A0A7A629BD6D1" ma:contentTypeVersion="3" ma:contentTypeDescription="Создание документа." ma:contentTypeScope="" ma:versionID="0765bc2f81302455fa082681c793653a">
  <xsd:schema xmlns:xsd="http://www.w3.org/2001/XMLSchema" xmlns:xs="http://www.w3.org/2001/XMLSchema" xmlns:p="http://schemas.microsoft.com/office/2006/metadata/properties" xmlns:ns2="619ed044-c676-4d2a-9f3c-0a9a1bd0ed8a" xmlns:ns3="efc0628e-55a8-4395-95fb-410e58a09441" targetNamespace="http://schemas.microsoft.com/office/2006/metadata/properties" ma:root="true" ma:fieldsID="8ff10ffe580de12cd1291b7a59f8f1a6" ns2:_="" ns3:_="">
    <xsd:import namespace="619ed044-c676-4d2a-9f3c-0a9a1bd0ed8a"/>
    <xsd:import namespace="efc0628e-55a8-4395-95fb-410e58a09441"/>
    <xsd:element name="properties">
      <xsd:complexType>
        <xsd:sequence>
          <xsd:element name="documentManagement">
            <xsd:complexType>
              <xsd:all>
                <xsd:element ref="ns2:SM_Status_doc"/>
                <xsd:element ref="ns2:SM_State_doc"/>
                <xsd:element ref="ns2:SM_Grif"/>
                <xsd:element ref="ns2:SM_Class_doc" minOccurs="0"/>
                <xsd:element ref="ns2:SM_Key_word" minOccurs="0"/>
                <xsd:element ref="ns2:SM_Comment" minOccurs="0"/>
                <xsd:element ref="ns2:SM_Language" minOccurs="0"/>
                <xsd:element ref="ns2:SM_Responsible_subdivision" minOccurs="0"/>
                <xsd:element ref="ns2:SM_Direction_business" minOccurs="0"/>
                <xsd:element ref="ns2:SM_Readers" minOccurs="0"/>
                <xsd:element ref="ns2:SM_Editors" minOccurs="0"/>
                <xsd:element ref="ns2:SM_Recipient"/>
                <xsd:element ref="ns2:SM_Periodicity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9ed044-c676-4d2a-9f3c-0a9a1bd0ed8a" elementFormDefault="qualified">
    <xsd:import namespace="http://schemas.microsoft.com/office/2006/documentManagement/types"/>
    <xsd:import namespace="http://schemas.microsoft.com/office/infopath/2007/PartnerControls"/>
    <xsd:element name="SM_Status_doc" ma:index="8" ma:displayName="Статус документа" ma:description="" ma:internalName="SM_Status_doc" ma:readOnly="false">
      <xsd:simpleType>
        <xsd:restriction base="dms:Choice">
          <xsd:enumeration value="активный"/>
          <xsd:enumeration value="архивный"/>
          <xsd:enumeration value="пассивный"/>
          <xsd:enumeration value="удаленный"/>
        </xsd:restriction>
      </xsd:simpleType>
    </xsd:element>
    <xsd:element name="SM_State_doc" ma:index="9" ma:displayName="Состояние документа" ma:description="" ma:internalName="SM_State_doc" ma:readOnly="false">
      <xsd:simpleType>
        <xsd:restriction base="dms:Choice">
          <xsd:enumeration value="отменен"/>
          <xsd:enumeration value="проект"/>
          <xsd:enumeration value="согласован"/>
          <xsd:enumeration value="требует актуализации"/>
          <xsd:enumeration value="утвержден"/>
        </xsd:restriction>
      </xsd:simpleType>
    </xsd:element>
    <xsd:element name="SM_Grif" ma:index="10" ma:displayName="Гриф" ma:description="" ma:internalName="SM_Grif" ma:readOnly="false">
      <xsd:simpleType>
        <xsd:restriction base="dms:Choice">
          <xsd:enumeration value="..."/>
          <xsd:enumeration value="Коммерческая тайна"/>
        </xsd:restriction>
      </xsd:simpleType>
    </xsd:element>
    <xsd:element name="SM_Class_doc" ma:index="11" nillable="true" ma:displayName="Класс документа" ma:description="" ma:internalName="SM_Class_doc">
      <xsd:simpleType>
        <xsd:restriction base="dms:Choice">
          <xsd:enumeration value="внешний"/>
          <xsd:enumeration value="внутренний"/>
        </xsd:restriction>
      </xsd:simpleType>
    </xsd:element>
    <xsd:element name="SM_Key_word" ma:index="12" nillable="true" ma:displayName="Ключевые слова" ma:description="" ma:internalName="SM_Key_word">
      <xsd:simpleType>
        <xsd:restriction base="dms:Note">
          <xsd:maxLength value="255"/>
        </xsd:restriction>
      </xsd:simpleType>
    </xsd:element>
    <xsd:element name="SM_Comment" ma:index="13" nillable="true" ma:displayName="Комментарий" ma:description="" ma:internalName="SM_Comment">
      <xsd:simpleType>
        <xsd:restriction base="dms:Note">
          <xsd:maxLength value="255"/>
        </xsd:restriction>
      </xsd:simpleType>
    </xsd:element>
    <xsd:element name="SM_Language" ma:index="14" nillable="true" ma:displayName="Язык документа" ma:default="русский" ma:description="" ma:internalName="SM_Language">
      <xsd:simpleType>
        <xsd:restriction base="dms:Choice">
          <xsd:enumeration value="английский"/>
          <xsd:enumeration value="немецкий"/>
          <xsd:enumeration value="русский"/>
        </xsd:restriction>
      </xsd:simpleType>
    </xsd:element>
    <xsd:element name="SM_Responsible_subdivision" ma:index="15" nillable="true" ma:displayName="Ответственное подразделение" ma:description="" ma:internalName="SM_Responsible_subdivision">
      <xsd:simpleType>
        <xsd:restriction base="dms:Text"/>
      </xsd:simpleType>
    </xsd:element>
    <xsd:element name="SM_Direction_business" ma:index="16" nillable="true" ma:displayName="Направление бизнеса" ma:description="" ma:internalName="SM_Direction_business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Маркетинг и продажи"/>
                    <xsd:enumeration value="Метрологическое обеспечение производства"/>
                    <xsd:enumeration value="Нормирование"/>
                    <xsd:enumeration value="Обеспечение безопасности"/>
                    <xsd:enumeration value="Обеспечение сырьем и материалами, услугами"/>
                    <xsd:enumeration value="Охрана окружающей среды"/>
                    <xsd:enumeration value="Охрана труда и промышленной безопасности"/>
                    <xsd:enumeration value="Планирование поставок и производства"/>
                    <xsd:enumeration value="Поставка продукции"/>
                    <xsd:enumeration value="Предоставление отчетности в сторонние организации"/>
                    <xsd:enumeration value="Производство продукции"/>
                    <xsd:enumeration value="Стратегическое управление"/>
                    <xsd:enumeration value="Техническое развитие/Техническое обеспечение"/>
                    <xsd:enumeration value="Управление информационными ресурсами"/>
                    <xsd:enumeration value="Управление персоналом и социальная поддержка"/>
                    <xsd:enumeration value="Управление связями с общественностью"/>
                    <xsd:enumeration value="Управление системой менеджмента качества"/>
                    <xsd:enumeration value="Управление собственностью"/>
                    <xsd:enumeration value="Управление финансами"/>
                    <xsd:enumeration value="Юридическое обеспечение деятельности"/>
                  </xsd:restriction>
                </xsd:simpleType>
              </xsd:element>
            </xsd:sequence>
          </xsd:extension>
        </xsd:complexContent>
      </xsd:complexType>
    </xsd:element>
    <xsd:element name="SM_Readers" ma:index="17" nillable="true" ma:displayName="Читатели" ma:description="Читатели документа" ma:list="UserInfo" ma:SearchPeopleOnly="false" ma:SharePointGroup="0" ma:internalName="SM_Read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M_Editors" ma:index="18" nillable="true" ma:displayName="Редакторы" ma:description="Редакторы документа" ma:list="UserInfo" ma:SearchPeopleOnly="false" ma:SharePointGroup="0" ma:internalName="SM_Edit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M_Recipient" ma:index="19" ma:displayName="Получатель" ma:description="" ma:internalName="SM_Recipient" ma:readOnly="false">
      <xsd:simpleType>
        <xsd:restriction base="dms:Text"/>
      </xsd:simpleType>
    </xsd:element>
    <xsd:element name="SM_Periodicity" ma:index="20" nillable="true" ma:displayName="Периодичность пересмотра" ma:description="" ma:internalName="SM_Periodicit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0628e-55a8-4395-95fb-410e58a09441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M_Key_word xmlns="619ed044-c676-4d2a-9f3c-0a9a1bd0ed8a" xsi:nil="true"/>
    <SM_Recipient xmlns="619ed044-c676-4d2a-9f3c-0a9a1bd0ed8a">специалисты по продажам</SM_Recipient>
    <SM_Status_doc xmlns="619ed044-c676-4d2a-9f3c-0a9a1bd0ed8a">активный</SM_Status_doc>
    <SM_Responsible_subdivision xmlns="619ed044-c676-4d2a-9f3c-0a9a1bd0ed8a" xsi:nil="true"/>
    <SM_Editors xmlns="619ed044-c676-4d2a-9f3c-0a9a1bd0ed8a">
      <UserInfo>
        <DisplayName/>
        <AccountId xsi:nil="true"/>
        <AccountType/>
      </UserInfo>
    </SM_Editors>
    <SM_Periodicity xmlns="619ed044-c676-4d2a-9f3c-0a9a1bd0ed8a" xsi:nil="true"/>
    <SM_State_doc xmlns="619ed044-c676-4d2a-9f3c-0a9a1bd0ed8a">утвержден</SM_State_doc>
    <SM_Class_doc xmlns="619ed044-c676-4d2a-9f3c-0a9a1bd0ed8a" xsi:nil="true"/>
    <SM_Grif xmlns="619ed044-c676-4d2a-9f3c-0a9a1bd0ed8a">...</SM_Grif>
    <SM_Direction_business xmlns="619ed044-c676-4d2a-9f3c-0a9a1bd0ed8a">
      <Value>Маркетинг и продажи</Value>
    </SM_Direction_business>
    <SM_Readers xmlns="619ed044-c676-4d2a-9f3c-0a9a1bd0ed8a">
      <UserInfo>
        <DisplayName/>
        <AccountId xsi:nil="true"/>
        <AccountType/>
      </UserInfo>
    </SM_Readers>
    <SM_Comment xmlns="619ed044-c676-4d2a-9f3c-0a9a1bd0ed8a">Гвозди рядовые ø1,8х30 - 1,8х50 мм	Все НТД Базовые цены +3000 ₽/тн</SM_Comment>
    <SM_Language xmlns="619ed044-c676-4d2a-9f3c-0a9a1bd0ed8a">русский</SM_Languag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1FAB32-67D8-476D-BBFB-3C9F9E7518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9ed044-c676-4d2a-9f3c-0a9a1bd0ed8a"/>
    <ds:schemaRef ds:uri="efc0628e-55a8-4395-95fb-410e58a094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FFC598-F516-49F8-AC76-611A93C30994}">
  <ds:schemaRefs>
    <ds:schemaRef ds:uri="619ed044-c676-4d2a-9f3c-0a9a1bd0ed8a"/>
    <ds:schemaRef ds:uri="http://purl.org/dc/terms/"/>
    <ds:schemaRef ds:uri="efc0628e-55a8-4395-95fb-410e58a09441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E0DFF7E-9F30-4DB2-A2A2-EBDCAC4145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15</vt:i4>
      </vt:variant>
    </vt:vector>
  </HeadingPairs>
  <TitlesOfParts>
    <vt:vector size="3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'1'!Область_печати</vt:lpstr>
      <vt:lpstr>'10'!Область_печати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  <vt:lpstr>'15'!Область_печати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2015-02-26T13:27:30Z</dcterms:created>
  <dcterms:modified xsi:type="dcterms:W3CDTF">2018-10-30T09:32:43Z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0x0101004E6D8CCB0EF6C44CB256F80FEB7416A41400CDE110DC9E22F44FA76A0A7A629BD6D1</vt:lpwstr>
  </property>
</Properties>
</file>