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6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7.xml" ContentType="application/vnd.openxmlformats-officedocument.drawing+xml"/>
  <Override PartName="/xl/tables/table13.xml" ContentType="application/vnd.openxmlformats-officedocument.spreadsheetml.table+xml"/>
  <Override PartName="/xl/drawings/drawing8.xml" ContentType="application/vnd.openxmlformats-officedocument.drawing+xml"/>
  <Override PartName="/xl/tables/table14.xml" ContentType="application/vnd.openxmlformats-officedocument.spreadsheetml.table+xml"/>
  <Override PartName="/xl/drawings/drawing9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drawings/drawing10.xml" ContentType="application/vnd.openxmlformats-officedocument.drawing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drawings/drawing11.xml" ContentType="application/vnd.openxmlformats-officedocument.drawing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drawings/drawing12.xml" ContentType="application/vnd.openxmlformats-officedocument.drawing+xml"/>
  <Override PartName="/xl/tables/table22.xml" ContentType="application/vnd.openxmlformats-officedocument.spreadsheetml.table+xml"/>
  <Override PartName="/xl/drawings/drawing13.xml" ContentType="application/vnd.openxmlformats-officedocument.drawing+xml"/>
  <Override PartName="/xl/tables/table23.xml" ContentType="application/vnd.openxmlformats-officedocument.spreadsheetml.table+xml"/>
  <Override PartName="/xl/drawings/drawing14.xml" ContentType="application/vnd.openxmlformats-officedocument.drawing+xml"/>
  <Override PartName="/xl/tables/table24.xml" ContentType="application/vnd.openxmlformats-officedocument.spreadsheetml.table+xml"/>
  <Override PartName="/xl/drawings/drawing15.xml" ContentType="application/vnd.openxmlformats-officedocument.drawing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hidePivotFieldList="1"/>
  <bookViews>
    <workbookView xWindow="0" yWindow="0" windowWidth="16275" windowHeight="7620" tabRatio="875"/>
  </bookViews>
  <sheets>
    <sheet name="1" sheetId="113" r:id="rId1"/>
    <sheet name="2" sheetId="48" r:id="rId2"/>
    <sheet name="3" sheetId="61" r:id="rId3"/>
    <sheet name="4" sheetId="24" r:id="rId4"/>
    <sheet name="5" sheetId="11" r:id="rId5"/>
    <sheet name="6" sheetId="12" r:id="rId6"/>
    <sheet name="7" sheetId="13" r:id="rId7"/>
    <sheet name="8" sheetId="14" r:id="rId8"/>
    <sheet name="9" sheetId="15" r:id="rId9"/>
    <sheet name="10" sheetId="16" r:id="rId10"/>
    <sheet name="11" sheetId="17" r:id="rId11"/>
    <sheet name="12" sheetId="18" r:id="rId12"/>
    <sheet name="13" sheetId="19" r:id="rId13"/>
    <sheet name="14" sheetId="21" r:id="rId14"/>
    <sheet name="15" sheetId="22" r:id="rId15"/>
    <sheet name="16" sheetId="60" r:id="rId16"/>
    <sheet name="17" sheetId="20" r:id="rId17"/>
    <sheet name="Лист1" sheetId="114" state="veryHidden" r:id="rId18"/>
  </sheets>
  <definedNames>
    <definedName name="_xlnm._FilterDatabase" localSheetId="13" hidden="1">'14'!$B$5:$G$39</definedName>
    <definedName name="_xlnm._FilterDatabase" localSheetId="1" hidden="1">'2'!$A$2:$C$30</definedName>
    <definedName name="_xlnm._FilterDatabase" localSheetId="4" hidden="1">'5'!$H$5:$H$5</definedName>
    <definedName name="_xlnm._FilterDatabase" localSheetId="5" hidden="1">'6'!#REF!</definedName>
    <definedName name="_xlnm._FilterDatabase" localSheetId="8" hidden="1">'9'!$H$1</definedName>
    <definedName name="Z_25CCFC00_B2A0_11D5_BB28_0001029D9AF1_.wvu.Cols" localSheetId="1" hidden="1">'2'!#REF!</definedName>
    <definedName name="Z_25CCFC00_B2A0_11D5_BB28_0001029D9AF1_.wvu.Cols" localSheetId="6" hidden="1">'7'!#REF!</definedName>
    <definedName name="Z_25CCFC00_B2A0_11D5_BB28_0001029D9AF1_.wvu.PrintArea" localSheetId="9" hidden="1">'10'!#REF!</definedName>
    <definedName name="Z_25CCFC00_B2A0_11D5_BB28_0001029D9AF1_.wvu.PrintArea" localSheetId="10" hidden="1">'11'!#REF!</definedName>
    <definedName name="Z_25CCFC00_B2A0_11D5_BB28_0001029D9AF1_.wvu.PrintArea" localSheetId="11" hidden="1">'12'!#REF!</definedName>
    <definedName name="Z_25CCFC00_B2A0_11D5_BB28_0001029D9AF1_.wvu.PrintArea" localSheetId="12" hidden="1">'13'!#REF!</definedName>
    <definedName name="Z_25CCFC00_B2A0_11D5_BB28_0001029D9AF1_.wvu.PrintArea" localSheetId="13" hidden="1">'14'!#REF!</definedName>
    <definedName name="Z_25CCFC00_B2A0_11D5_BB28_0001029D9AF1_.wvu.PrintArea" localSheetId="14" hidden="1">'15'!#REF!</definedName>
    <definedName name="Z_25CCFC00_B2A0_11D5_BB28_0001029D9AF1_.wvu.PrintArea" localSheetId="15" hidden="1">'16'!#REF!</definedName>
    <definedName name="Z_25CCFC00_B2A0_11D5_BB28_0001029D9AF1_.wvu.PrintArea" localSheetId="16" hidden="1">'13'!#REF!</definedName>
    <definedName name="Z_25CCFC00_B2A0_11D5_BB28_0001029D9AF1_.wvu.PrintArea" localSheetId="1" hidden="1">'2'!$A$1:$C$1</definedName>
    <definedName name="Z_25CCFC00_B2A0_11D5_BB28_0001029D9AF1_.wvu.PrintArea" localSheetId="3" hidden="1">'4'!#REF!</definedName>
    <definedName name="Z_25CCFC00_B2A0_11D5_BB28_0001029D9AF1_.wvu.PrintArea" localSheetId="4" hidden="1">'5'!#REF!</definedName>
    <definedName name="Z_25CCFC00_B2A0_11D5_BB28_0001029D9AF1_.wvu.PrintArea" localSheetId="5" hidden="1">'6'!#REF!</definedName>
    <definedName name="Z_25CCFC00_B2A0_11D5_BB28_0001029D9AF1_.wvu.PrintArea" localSheetId="6" hidden="1">'7'!#REF!</definedName>
    <definedName name="Z_25CCFC00_B2A0_11D5_BB28_0001029D9AF1_.wvu.PrintArea" localSheetId="7" hidden="1">'8'!#REF!</definedName>
    <definedName name="Z_25CCFC00_B2A0_11D5_BB28_0001029D9AF1_.wvu.PrintArea" localSheetId="8" hidden="1">'9'!#REF!</definedName>
    <definedName name="_xlnm.Print_Area" localSheetId="0">'1'!$A$1:$J$37</definedName>
    <definedName name="_xlnm.Print_Area" localSheetId="9">'10'!$B$1:$G$30</definedName>
    <definedName name="_xlnm.Print_Area" localSheetId="10">'11'!$B$1:$G$55</definedName>
    <definedName name="_xlnm.Print_Area" localSheetId="11">'12'!$B$1:$G$67</definedName>
    <definedName name="_xlnm.Print_Area" localSheetId="12">'13'!$B$1:$G$49</definedName>
    <definedName name="_xlnm.Print_Area" localSheetId="13">'14'!$B$1:$G$39</definedName>
    <definedName name="_xlnm.Print_Area" localSheetId="14">'15'!$B$1:$G$33</definedName>
    <definedName name="_xlnm.Print_Area" localSheetId="15">'16'!$B$1:$G$33</definedName>
    <definedName name="_xlnm.Print_Area" localSheetId="16">'17'!$B$1:$G$66</definedName>
    <definedName name="_xlnm.Print_Area" localSheetId="1">'2'!$A$1:$C$30</definedName>
    <definedName name="_xlnm.Print_Area" localSheetId="2">'3'!$B$1:$F$46</definedName>
    <definedName name="_xlnm.Print_Area" localSheetId="3">'4'!$B$1:$G$61</definedName>
    <definedName name="_xlnm.Print_Area" localSheetId="4">'5'!$B$1:$G$38</definedName>
    <definedName name="_xlnm.Print_Area" localSheetId="5">'6'!$B$1:$G$74</definedName>
    <definedName name="_xlnm.Print_Area" localSheetId="6">'7'!$B$1:$G$76</definedName>
    <definedName name="_xlnm.Print_Area" localSheetId="7">'8'!$B$1:$G$68</definedName>
    <definedName name="_xlnm.Print_Area" localSheetId="8">'9'!$B$1:$G$35</definedName>
  </definedNames>
  <calcPr calcId="162913"/>
</workbook>
</file>

<file path=xl/calcChain.xml><?xml version="1.0" encoding="utf-8"?>
<calcChain xmlns="http://schemas.openxmlformats.org/spreadsheetml/2006/main">
  <c r="E28" i="20" l="1"/>
  <c r="D28" i="20"/>
  <c r="E27" i="20"/>
  <c r="D27" i="20"/>
  <c r="E26" i="20"/>
  <c r="D26" i="20"/>
  <c r="E25" i="20"/>
  <c r="D25" i="20"/>
  <c r="E24" i="20"/>
  <c r="D24" i="20"/>
  <c r="E23" i="20"/>
  <c r="D23" i="20"/>
  <c r="E22" i="20"/>
  <c r="D22" i="20"/>
  <c r="E21" i="20"/>
  <c r="D21" i="20"/>
  <c r="E20" i="20"/>
  <c r="D20" i="20"/>
  <c r="E19" i="20"/>
  <c r="D19" i="20"/>
  <c r="E18" i="20"/>
  <c r="D18" i="20"/>
  <c r="D11" i="20"/>
  <c r="E10" i="20"/>
  <c r="D10" i="20"/>
  <c r="E9" i="20"/>
  <c r="D9" i="20"/>
  <c r="E8" i="20"/>
  <c r="D8" i="20"/>
  <c r="E7" i="20"/>
  <c r="E6" i="20"/>
  <c r="D6" i="20"/>
  <c r="E33" i="60"/>
  <c r="D33" i="60"/>
  <c r="E32" i="60"/>
  <c r="D32" i="60"/>
  <c r="E31" i="60"/>
  <c r="D31" i="60"/>
  <c r="E30" i="60"/>
  <c r="D30" i="60"/>
  <c r="E29" i="60"/>
  <c r="D29" i="60"/>
  <c r="E28" i="60"/>
  <c r="D28" i="60"/>
  <c r="E27" i="60"/>
  <c r="D27" i="60"/>
  <c r="E26" i="60"/>
  <c r="D26" i="60"/>
  <c r="E25" i="60"/>
  <c r="D25" i="60"/>
  <c r="E24" i="60"/>
  <c r="D24" i="60"/>
  <c r="E23" i="60"/>
  <c r="D23" i="60"/>
  <c r="E22" i="60"/>
  <c r="D22" i="60"/>
  <c r="E21" i="60"/>
  <c r="D21" i="60"/>
  <c r="E20" i="60"/>
  <c r="D20" i="60"/>
  <c r="E19" i="60"/>
  <c r="D19" i="60"/>
  <c r="E18" i="60"/>
  <c r="D18" i="60"/>
  <c r="E17" i="60"/>
  <c r="D17" i="60"/>
  <c r="E16" i="60"/>
  <c r="D16" i="60"/>
  <c r="E15" i="60"/>
  <c r="D15" i="60"/>
  <c r="E14" i="60"/>
  <c r="D14" i="60"/>
  <c r="E13" i="60"/>
  <c r="D13" i="60"/>
  <c r="E12" i="60"/>
  <c r="D12" i="60"/>
  <c r="E11" i="60"/>
  <c r="D11" i="60"/>
  <c r="E10" i="60"/>
  <c r="D10" i="60"/>
  <c r="E9" i="60"/>
  <c r="D9" i="60"/>
  <c r="E8" i="60"/>
  <c r="D8" i="60"/>
  <c r="E7" i="60"/>
  <c r="D7" i="60"/>
  <c r="E6" i="60"/>
  <c r="D6" i="60"/>
  <c r="E33" i="22"/>
  <c r="D33" i="22"/>
  <c r="E32" i="22"/>
  <c r="D32" i="22"/>
  <c r="E31" i="22"/>
  <c r="D31" i="22"/>
  <c r="E30" i="22"/>
  <c r="D30" i="22"/>
  <c r="E29" i="22"/>
  <c r="D29" i="22"/>
  <c r="E28" i="22"/>
  <c r="D28" i="22"/>
  <c r="E27" i="22"/>
  <c r="D27" i="22"/>
  <c r="E26" i="22"/>
  <c r="D26" i="22"/>
  <c r="E25" i="22"/>
  <c r="D25" i="22"/>
  <c r="E24" i="22"/>
  <c r="D24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E11" i="22"/>
  <c r="D11" i="22"/>
  <c r="E10" i="22"/>
  <c r="D10" i="22"/>
  <c r="E9" i="22"/>
  <c r="D9" i="22"/>
  <c r="E8" i="22"/>
  <c r="D8" i="22"/>
  <c r="E7" i="22"/>
  <c r="D7" i="22"/>
  <c r="E6" i="22"/>
  <c r="D6" i="22"/>
  <c r="E39" i="21"/>
  <c r="D39" i="21"/>
  <c r="E38" i="21"/>
  <c r="D38" i="21"/>
  <c r="E37" i="21"/>
  <c r="D37" i="21"/>
  <c r="E36" i="21"/>
  <c r="D36" i="21"/>
  <c r="E35" i="21"/>
  <c r="D35" i="21"/>
  <c r="E34" i="21"/>
  <c r="D34" i="21"/>
  <c r="E33" i="21"/>
  <c r="D33" i="21"/>
  <c r="E32" i="21"/>
  <c r="D32" i="21"/>
  <c r="E31" i="21"/>
  <c r="D31" i="21"/>
  <c r="E30" i="21"/>
  <c r="D30" i="21"/>
  <c r="E29" i="21"/>
  <c r="D29" i="21"/>
  <c r="E28" i="21"/>
  <c r="D28" i="21"/>
  <c r="E27" i="21"/>
  <c r="D27" i="21"/>
  <c r="E26" i="21"/>
  <c r="D26" i="21"/>
  <c r="E25" i="21"/>
  <c r="D25" i="21"/>
  <c r="E24" i="21"/>
  <c r="D24" i="21"/>
  <c r="E23" i="21"/>
  <c r="D23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E49" i="19"/>
  <c r="D49" i="19"/>
  <c r="E48" i="19"/>
  <c r="D48" i="19"/>
  <c r="E47" i="19"/>
  <c r="D47" i="19"/>
  <c r="E46" i="19"/>
  <c r="D46" i="19"/>
  <c r="E45" i="19"/>
  <c r="D45" i="19"/>
  <c r="E44" i="19"/>
  <c r="D44" i="19"/>
  <c r="E43" i="19"/>
  <c r="D43" i="19"/>
  <c r="E42" i="19"/>
  <c r="D42" i="19"/>
  <c r="E41" i="19"/>
  <c r="D41" i="19"/>
  <c r="E40" i="19"/>
  <c r="D40" i="19"/>
  <c r="E39" i="19"/>
  <c r="D39" i="19"/>
  <c r="E38" i="19"/>
  <c r="D38" i="19"/>
  <c r="E37" i="19"/>
  <c r="D37" i="19"/>
  <c r="E36" i="19"/>
  <c r="D36" i="19"/>
  <c r="E35" i="19"/>
  <c r="D35" i="19"/>
  <c r="E34" i="19"/>
  <c r="D34" i="19"/>
  <c r="E33" i="19"/>
  <c r="D33" i="19"/>
  <c r="E32" i="19"/>
  <c r="D32" i="19"/>
  <c r="E31" i="19"/>
  <c r="D31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2" i="18"/>
  <c r="D42" i="18"/>
  <c r="E41" i="18"/>
  <c r="E40" i="18"/>
  <c r="D40" i="18"/>
  <c r="E39" i="18"/>
  <c r="D39" i="18"/>
  <c r="E38" i="18"/>
  <c r="D38" i="18"/>
  <c r="E37" i="18"/>
  <c r="D37" i="18"/>
  <c r="E36" i="18"/>
  <c r="D36" i="18"/>
  <c r="E35" i="18"/>
  <c r="D35" i="18"/>
  <c r="E34" i="18"/>
  <c r="D34" i="18"/>
  <c r="E33" i="18"/>
  <c r="D33" i="18"/>
  <c r="E32" i="18"/>
  <c r="D32" i="18"/>
  <c r="E31" i="18"/>
  <c r="D31" i="18"/>
  <c r="E30" i="18"/>
  <c r="D30" i="18"/>
  <c r="E29" i="18"/>
  <c r="D29" i="18"/>
  <c r="E28" i="18"/>
  <c r="D28" i="18"/>
  <c r="E27" i="18"/>
  <c r="D27" i="18"/>
  <c r="E26" i="18"/>
  <c r="D26" i="18"/>
  <c r="E25" i="18"/>
  <c r="D25" i="18"/>
  <c r="E24" i="18"/>
  <c r="D24" i="18"/>
  <c r="E23" i="18"/>
  <c r="D23" i="18"/>
  <c r="E22" i="18"/>
  <c r="D22" i="18"/>
  <c r="E15" i="18"/>
  <c r="D15" i="18"/>
  <c r="E14" i="18"/>
  <c r="D14" i="18"/>
  <c r="E13" i="18"/>
  <c r="D13" i="18"/>
  <c r="E12" i="18"/>
  <c r="D12" i="18"/>
  <c r="E11" i="18"/>
  <c r="D11" i="18"/>
  <c r="E10" i="18"/>
  <c r="E9" i="18"/>
  <c r="D9" i="18"/>
  <c r="E8" i="18"/>
  <c r="D8" i="18"/>
  <c r="E7" i="18"/>
  <c r="D7" i="18"/>
  <c r="E6" i="18"/>
  <c r="D6" i="18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E48" i="17"/>
  <c r="D48" i="17"/>
  <c r="E47" i="17"/>
  <c r="D47" i="17"/>
  <c r="E46" i="17"/>
  <c r="D46" i="17"/>
  <c r="E45" i="17"/>
  <c r="D45" i="17"/>
  <c r="E44" i="17"/>
  <c r="D44" i="17"/>
  <c r="E43" i="17"/>
  <c r="D43" i="17"/>
  <c r="E42" i="17"/>
  <c r="D42" i="17"/>
  <c r="E41" i="17"/>
  <c r="D41" i="17"/>
  <c r="E40" i="17"/>
  <c r="D40" i="17"/>
  <c r="E39" i="17"/>
  <c r="D39" i="17"/>
  <c r="E38" i="17"/>
  <c r="D38" i="17"/>
  <c r="E37" i="17"/>
  <c r="D37" i="17"/>
  <c r="E36" i="17"/>
  <c r="D36" i="17"/>
  <c r="E35" i="17"/>
  <c r="D35" i="17"/>
  <c r="E34" i="17"/>
  <c r="D34" i="17"/>
  <c r="D27" i="17"/>
  <c r="E26" i="17"/>
  <c r="D26" i="17"/>
  <c r="E25" i="17"/>
  <c r="D25" i="17"/>
  <c r="E24" i="17"/>
  <c r="D24" i="17"/>
  <c r="E23" i="17"/>
  <c r="D23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E11" i="17"/>
  <c r="D11" i="17"/>
  <c r="E10" i="17"/>
  <c r="D10" i="17"/>
  <c r="E9" i="17"/>
  <c r="D9" i="17"/>
  <c r="E8" i="17"/>
  <c r="D8" i="17"/>
  <c r="E7" i="17"/>
  <c r="D7" i="17"/>
  <c r="E6" i="17"/>
  <c r="D6" i="17"/>
  <c r="E30" i="16"/>
  <c r="D30" i="16"/>
  <c r="E29" i="16"/>
  <c r="D29" i="16"/>
  <c r="E28" i="16"/>
  <c r="D28" i="16"/>
  <c r="E27" i="16"/>
  <c r="D27" i="16"/>
  <c r="E26" i="16"/>
  <c r="D26" i="16"/>
  <c r="E25" i="16"/>
  <c r="D25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E11" i="16"/>
  <c r="D11" i="16"/>
  <c r="E10" i="16"/>
  <c r="D10" i="16"/>
  <c r="E9" i="16"/>
  <c r="D9" i="16"/>
  <c r="E8" i="16"/>
  <c r="D8" i="16"/>
  <c r="E7" i="16"/>
  <c r="D7" i="16"/>
  <c r="E6" i="16"/>
  <c r="D6" i="16"/>
  <c r="E35" i="15"/>
  <c r="D35" i="15"/>
  <c r="E34" i="15"/>
  <c r="D34" i="15"/>
  <c r="D33" i="15"/>
  <c r="E32" i="15"/>
  <c r="D32" i="15"/>
  <c r="E31" i="15"/>
  <c r="D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76" i="13"/>
  <c r="D76" i="13"/>
  <c r="E75" i="13"/>
  <c r="D75" i="13"/>
  <c r="E74" i="13"/>
  <c r="D74" i="13"/>
  <c r="E73" i="13"/>
  <c r="D73" i="13"/>
  <c r="E72" i="13"/>
  <c r="D72" i="13"/>
  <c r="E71" i="13"/>
  <c r="D71" i="13"/>
  <c r="E70" i="13"/>
  <c r="D70" i="13"/>
  <c r="E69" i="13"/>
  <c r="D69" i="13"/>
  <c r="E68" i="13"/>
  <c r="D68" i="13"/>
  <c r="E67" i="13"/>
  <c r="D67" i="13"/>
  <c r="E35" i="13"/>
  <c r="D35" i="13"/>
  <c r="E34" i="13"/>
  <c r="D34" i="13"/>
  <c r="E33" i="13"/>
  <c r="D33" i="13"/>
  <c r="E32" i="13"/>
  <c r="D32" i="13"/>
  <c r="E31" i="13"/>
  <c r="D31" i="13"/>
  <c r="E30" i="13"/>
  <c r="D30" i="13"/>
  <c r="E29" i="13"/>
  <c r="D29" i="13"/>
  <c r="E28" i="13"/>
  <c r="D28" i="13"/>
  <c r="E27" i="13"/>
  <c r="D27" i="13"/>
  <c r="E26" i="13"/>
  <c r="D26" i="13"/>
  <c r="E25" i="13"/>
  <c r="D25" i="13"/>
  <c r="E24" i="13"/>
  <c r="D24" i="13"/>
  <c r="E23" i="13"/>
  <c r="D23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61" i="24"/>
  <c r="D61" i="24"/>
  <c r="E60" i="24"/>
  <c r="D60" i="24"/>
  <c r="E59" i="24"/>
  <c r="D59" i="24"/>
  <c r="E58" i="24"/>
  <c r="D58" i="24"/>
  <c r="E57" i="24"/>
  <c r="D57" i="24"/>
  <c r="E56" i="24"/>
  <c r="D56" i="24"/>
  <c r="E55" i="24"/>
  <c r="D55" i="24"/>
  <c r="E54" i="24"/>
  <c r="D54" i="24"/>
  <c r="E53" i="24"/>
  <c r="D53" i="24"/>
  <c r="E52" i="24"/>
  <c r="D52" i="24"/>
  <c r="E51" i="24"/>
  <c r="D51" i="24"/>
  <c r="E50" i="24"/>
  <c r="D50" i="24"/>
  <c r="E49" i="24"/>
  <c r="D49" i="24"/>
  <c r="E48" i="24"/>
  <c r="D48" i="24"/>
  <c r="E47" i="24"/>
  <c r="D47" i="24"/>
  <c r="E46" i="24"/>
  <c r="D46" i="24"/>
  <c r="E45" i="24"/>
  <c r="D45" i="24"/>
  <c r="E44" i="24"/>
  <c r="D44" i="24"/>
  <c r="E43" i="24"/>
  <c r="D43" i="24"/>
  <c r="E42" i="24"/>
  <c r="D42" i="24"/>
  <c r="E41" i="24"/>
  <c r="D41" i="24"/>
  <c r="E40" i="24"/>
  <c r="D40" i="24"/>
  <c r="E39" i="24"/>
  <c r="D39" i="24"/>
  <c r="E38" i="24"/>
  <c r="D38" i="24"/>
  <c r="E37" i="24"/>
  <c r="D37" i="24"/>
  <c r="E36" i="24"/>
  <c r="D36" i="24"/>
  <c r="E35" i="24"/>
  <c r="D35" i="24"/>
  <c r="E34" i="24"/>
  <c r="D34" i="24"/>
  <c r="E33" i="24"/>
  <c r="D33" i="24"/>
  <c r="E32" i="24"/>
  <c r="D32" i="24"/>
  <c r="E31" i="24"/>
  <c r="D31" i="24"/>
  <c r="E30" i="24"/>
  <c r="D30" i="24"/>
  <c r="E29" i="24"/>
  <c r="D29" i="24"/>
  <c r="E28" i="24"/>
  <c r="D28" i="24"/>
  <c r="E27" i="24"/>
  <c r="D27" i="24"/>
  <c r="E26" i="24"/>
  <c r="D26" i="24"/>
  <c r="E25" i="24"/>
  <c r="D25" i="24"/>
  <c r="D66" i="20" l="1"/>
  <c r="D65" i="20"/>
  <c r="D64" i="20"/>
  <c r="D63" i="20"/>
  <c r="D62" i="20"/>
  <c r="D60" i="20"/>
  <c r="D59" i="20"/>
  <c r="D58" i="20"/>
  <c r="D57" i="20"/>
  <c r="D56" i="20"/>
  <c r="D47" i="20"/>
  <c r="D46" i="20"/>
  <c r="D45" i="20"/>
  <c r="D44" i="20"/>
  <c r="D43" i="20"/>
  <c r="D41" i="20"/>
  <c r="D40" i="20"/>
  <c r="D39" i="20"/>
  <c r="D38" i="20"/>
  <c r="D37" i="20"/>
  <c r="E74" i="12" l="1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E47" i="12"/>
  <c r="D47" i="12"/>
  <c r="E46" i="12"/>
  <c r="D46" i="12"/>
  <c r="E45" i="12"/>
  <c r="D45" i="12"/>
  <c r="E18" i="24"/>
  <c r="E17" i="24"/>
  <c r="E16" i="24"/>
  <c r="E15" i="24"/>
  <c r="E14" i="24"/>
  <c r="E13" i="24"/>
  <c r="E12" i="24"/>
  <c r="E11" i="24"/>
  <c r="E9" i="24"/>
  <c r="E8" i="24"/>
  <c r="E7" i="24"/>
  <c r="E6" i="24"/>
  <c r="E51" i="14" l="1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60" i="13"/>
  <c r="D60" i="13"/>
  <c r="E59" i="13"/>
  <c r="D59" i="13"/>
  <c r="E58" i="13"/>
  <c r="D58" i="13"/>
  <c r="E57" i="13"/>
  <c r="D57" i="13"/>
  <c r="E56" i="13"/>
  <c r="D56" i="13"/>
  <c r="E55" i="13"/>
  <c r="D55" i="13"/>
  <c r="E54" i="13"/>
  <c r="D54" i="13"/>
  <c r="E53" i="13"/>
  <c r="D53" i="13"/>
  <c r="E52" i="13"/>
  <c r="D52" i="13"/>
  <c r="E51" i="13"/>
  <c r="D51" i="13"/>
  <c r="E50" i="13"/>
  <c r="D50" i="13"/>
  <c r="E49" i="13"/>
  <c r="D49" i="13"/>
  <c r="E48" i="13"/>
  <c r="D48" i="13"/>
  <c r="E47" i="13"/>
  <c r="D47" i="13"/>
  <c r="E46" i="13"/>
  <c r="D46" i="13"/>
  <c r="E45" i="13"/>
  <c r="D45" i="13"/>
  <c r="E44" i="13"/>
  <c r="D44" i="13"/>
  <c r="E43" i="13"/>
  <c r="D43" i="13"/>
  <c r="E42" i="13"/>
  <c r="D42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38" i="12"/>
  <c r="D38" i="12"/>
  <c r="E37" i="12"/>
  <c r="D37" i="12"/>
  <c r="E36" i="12"/>
  <c r="D36" i="12"/>
  <c r="E35" i="12"/>
  <c r="D35" i="12"/>
  <c r="E34" i="12"/>
  <c r="D34" i="12"/>
  <c r="E33" i="12"/>
  <c r="D33" i="12"/>
  <c r="E32" i="12"/>
  <c r="D32" i="12"/>
  <c r="E31" i="12"/>
  <c r="D31" i="12"/>
  <c r="E30" i="12"/>
  <c r="D30" i="12"/>
  <c r="E29" i="12"/>
  <c r="D29" i="12"/>
  <c r="E28" i="12"/>
  <c r="D28" i="12"/>
  <c r="E27" i="12"/>
  <c r="D27" i="12"/>
  <c r="E26" i="12"/>
  <c r="D26" i="12"/>
  <c r="E25" i="12"/>
  <c r="D25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E11" i="12"/>
  <c r="D11" i="12"/>
  <c r="E10" i="12"/>
  <c r="D10" i="12"/>
  <c r="E9" i="12"/>
  <c r="D9" i="12"/>
  <c r="E8" i="12"/>
  <c r="D8" i="12"/>
  <c r="E7" i="12"/>
  <c r="D7" i="12"/>
  <c r="E6" i="12"/>
  <c r="D6" i="12"/>
  <c r="E38" i="11"/>
  <c r="D38" i="11"/>
  <c r="E37" i="11"/>
  <c r="D37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24" i="61" l="1"/>
  <c r="G7" i="20" l="1"/>
  <c r="C596" i="114" l="1"/>
  <c r="C597" i="114"/>
  <c r="A597" i="114" s="1"/>
  <c r="C595" i="114"/>
  <c r="A595" i="114" s="1"/>
  <c r="F591" i="114"/>
  <c r="F594" i="114"/>
  <c r="F593" i="114"/>
  <c r="F592" i="114"/>
  <c r="C594" i="114"/>
  <c r="A594" i="114" s="1"/>
  <c r="C593" i="114"/>
  <c r="A593" i="114" s="1"/>
  <c r="C592" i="114"/>
  <c r="A592" i="114" s="1"/>
  <c r="C591" i="114"/>
  <c r="A591" i="114" s="1"/>
  <c r="A596" i="114"/>
  <c r="F590" i="114"/>
  <c r="F589" i="114"/>
  <c r="F588" i="114"/>
  <c r="F587" i="114"/>
  <c r="F586" i="114"/>
  <c r="C587" i="114"/>
  <c r="A587" i="114" s="1"/>
  <c r="C588" i="114"/>
  <c r="A588" i="114" s="1"/>
  <c r="C589" i="114"/>
  <c r="A589" i="114" s="1"/>
  <c r="C590" i="114"/>
  <c r="A590" i="114" s="1"/>
  <c r="C586" i="114"/>
  <c r="A586" i="114" s="1"/>
  <c r="F585" i="114"/>
  <c r="F584" i="114"/>
  <c r="F583" i="114"/>
  <c r="F582" i="114"/>
  <c r="F581" i="114"/>
  <c r="C585" i="114"/>
  <c r="A585" i="114" s="1"/>
  <c r="C584" i="114"/>
  <c r="A584" i="114" s="1"/>
  <c r="C583" i="114"/>
  <c r="A583" i="114" s="1"/>
  <c r="C582" i="114"/>
  <c r="A582" i="114" s="1"/>
  <c r="C581" i="114"/>
  <c r="A581" i="114" s="1"/>
  <c r="F580" i="114"/>
  <c r="F579" i="114"/>
  <c r="F578" i="114"/>
  <c r="F577" i="114"/>
  <c r="F576" i="114"/>
  <c r="C580" i="114"/>
  <c r="A580" i="114" s="1"/>
  <c r="C579" i="114"/>
  <c r="A579" i="114" s="1"/>
  <c r="C578" i="114"/>
  <c r="A578" i="114" s="1"/>
  <c r="C577" i="114"/>
  <c r="A577" i="114" s="1"/>
  <c r="C576" i="114"/>
  <c r="A576" i="114" s="1"/>
  <c r="F575" i="114"/>
  <c r="F574" i="114"/>
  <c r="F573" i="114"/>
  <c r="F572" i="114"/>
  <c r="F571" i="114"/>
  <c r="C575" i="114"/>
  <c r="A575" i="114" s="1"/>
  <c r="C574" i="114"/>
  <c r="A574" i="114" s="1"/>
  <c r="C573" i="114"/>
  <c r="A573" i="114" s="1"/>
  <c r="C572" i="114"/>
  <c r="A572" i="114" s="1"/>
  <c r="C571" i="114"/>
  <c r="A571" i="114" s="1"/>
  <c r="C570" i="114"/>
  <c r="A570" i="114" s="1"/>
  <c r="C569" i="114"/>
  <c r="A569" i="114" s="1"/>
  <c r="C568" i="114"/>
  <c r="A568" i="114" s="1"/>
  <c r="C567" i="114"/>
  <c r="A567" i="114" s="1"/>
  <c r="C566" i="114"/>
  <c r="A566" i="114" s="1"/>
  <c r="C565" i="114"/>
  <c r="A565" i="114" s="1"/>
  <c r="C564" i="114"/>
  <c r="A564" i="114" s="1"/>
  <c r="C563" i="114"/>
  <c r="A563" i="114" s="1"/>
  <c r="C562" i="114"/>
  <c r="A562" i="114" s="1"/>
  <c r="C561" i="114"/>
  <c r="A561" i="114" s="1"/>
  <c r="C560" i="114"/>
  <c r="A560" i="114" s="1"/>
  <c r="F559" i="114"/>
  <c r="F555" i="114"/>
  <c r="E555" i="114"/>
  <c r="F554" i="114"/>
  <c r="C559" i="114"/>
  <c r="A559" i="114" s="1"/>
  <c r="C558" i="114"/>
  <c r="A558" i="114" s="1"/>
  <c r="C557" i="114"/>
  <c r="A557" i="114" s="1"/>
  <c r="C556" i="114"/>
  <c r="A556" i="114" s="1"/>
  <c r="C555" i="114"/>
  <c r="A555" i="114" s="1"/>
  <c r="C554" i="114"/>
  <c r="A554" i="114" s="1"/>
  <c r="C527" i="114"/>
  <c r="A527" i="114" s="1"/>
  <c r="C528" i="114"/>
  <c r="A528" i="114" s="1"/>
  <c r="C529" i="114"/>
  <c r="A529" i="114" s="1"/>
  <c r="C530" i="114"/>
  <c r="A530" i="114" s="1"/>
  <c r="C531" i="114"/>
  <c r="A531" i="114" s="1"/>
  <c r="C532" i="114"/>
  <c r="A532" i="114" s="1"/>
  <c r="C533" i="114"/>
  <c r="A533" i="114" s="1"/>
  <c r="C534" i="114"/>
  <c r="A534" i="114" s="1"/>
  <c r="C535" i="114"/>
  <c r="A535" i="114" s="1"/>
  <c r="C536" i="114"/>
  <c r="A536" i="114" s="1"/>
  <c r="C537" i="114"/>
  <c r="A537" i="114" s="1"/>
  <c r="C538" i="114"/>
  <c r="A538" i="114" s="1"/>
  <c r="C539" i="114"/>
  <c r="A539" i="114" s="1"/>
  <c r="C540" i="114"/>
  <c r="A540" i="114" s="1"/>
  <c r="C541" i="114"/>
  <c r="A541" i="114" s="1"/>
  <c r="C542" i="114"/>
  <c r="A542" i="114" s="1"/>
  <c r="C543" i="114"/>
  <c r="A543" i="114" s="1"/>
  <c r="C544" i="114"/>
  <c r="A544" i="114" s="1"/>
  <c r="C545" i="114"/>
  <c r="A545" i="114" s="1"/>
  <c r="C546" i="114"/>
  <c r="A546" i="114" s="1"/>
  <c r="C547" i="114"/>
  <c r="A547" i="114" s="1"/>
  <c r="C548" i="114"/>
  <c r="A548" i="114" s="1"/>
  <c r="C549" i="114"/>
  <c r="A549" i="114" s="1"/>
  <c r="C550" i="114"/>
  <c r="A550" i="114" s="1"/>
  <c r="C551" i="114"/>
  <c r="A551" i="114" s="1"/>
  <c r="C552" i="114"/>
  <c r="A552" i="114" s="1"/>
  <c r="C553" i="114"/>
  <c r="A553" i="114" s="1"/>
  <c r="C526" i="114"/>
  <c r="A526" i="114" s="1"/>
  <c r="F525" i="114"/>
  <c r="F524" i="114"/>
  <c r="F523" i="114"/>
  <c r="F522" i="114"/>
  <c r="F521" i="114"/>
  <c r="C522" i="114"/>
  <c r="A522" i="114" s="1"/>
  <c r="C523" i="114"/>
  <c r="A523" i="114" s="1"/>
  <c r="C524" i="114"/>
  <c r="A524" i="114" s="1"/>
  <c r="C525" i="114"/>
  <c r="A525" i="114" s="1"/>
  <c r="C521" i="114"/>
  <c r="A521" i="114" s="1"/>
  <c r="C516" i="114"/>
  <c r="A516" i="114" s="1"/>
  <c r="C517" i="114"/>
  <c r="A517" i="114" s="1"/>
  <c r="C518" i="114"/>
  <c r="A518" i="114" s="1"/>
  <c r="C519" i="114"/>
  <c r="A519" i="114" s="1"/>
  <c r="C520" i="114"/>
  <c r="A520" i="114" s="1"/>
  <c r="C515" i="114"/>
  <c r="A515" i="114" s="1"/>
  <c r="C511" i="114"/>
  <c r="A511" i="114" s="1"/>
  <c r="C512" i="114"/>
  <c r="A512" i="114" s="1"/>
  <c r="C513" i="114"/>
  <c r="A513" i="114" s="1"/>
  <c r="C514" i="114"/>
  <c r="A514" i="114" s="1"/>
  <c r="C510" i="114"/>
  <c r="A510" i="114" s="1"/>
  <c r="C509" i="114"/>
  <c r="A509" i="114" s="1"/>
  <c r="C508" i="114"/>
  <c r="A508" i="114" s="1"/>
  <c r="C507" i="114"/>
  <c r="A507" i="114" s="1"/>
  <c r="C506" i="114"/>
  <c r="A506" i="114" s="1"/>
  <c r="C505" i="114"/>
  <c r="A505" i="114" s="1"/>
  <c r="C504" i="114"/>
  <c r="A504" i="114" s="1"/>
  <c r="C503" i="114"/>
  <c r="A503" i="114" s="1"/>
  <c r="C502" i="114"/>
  <c r="A502" i="114" s="1"/>
  <c r="C501" i="114"/>
  <c r="A501" i="114" s="1"/>
  <c r="C500" i="114"/>
  <c r="A500" i="114" s="1"/>
  <c r="C499" i="114"/>
  <c r="A499" i="114" s="1"/>
  <c r="C498" i="114"/>
  <c r="A498" i="114" s="1"/>
  <c r="C497" i="114"/>
  <c r="A497" i="114" s="1"/>
  <c r="C496" i="114"/>
  <c r="A496" i="114" s="1"/>
  <c r="C495" i="114"/>
  <c r="A495" i="114" s="1"/>
  <c r="C494" i="114"/>
  <c r="A494" i="114" s="1"/>
  <c r="C493" i="114"/>
  <c r="A493" i="114" s="1"/>
  <c r="C492" i="114"/>
  <c r="A492" i="114" s="1"/>
  <c r="C491" i="114"/>
  <c r="A491" i="114" s="1"/>
  <c r="C490" i="114"/>
  <c r="A490" i="114" s="1"/>
  <c r="C489" i="114"/>
  <c r="A489" i="114" s="1"/>
  <c r="C488" i="114"/>
  <c r="A488" i="114" s="1"/>
  <c r="C487" i="114"/>
  <c r="A487" i="114" s="1"/>
  <c r="C486" i="114"/>
  <c r="A486" i="114" s="1"/>
  <c r="C485" i="114"/>
  <c r="A485" i="114" s="1"/>
  <c r="C484" i="114"/>
  <c r="A484" i="114" s="1"/>
  <c r="C483" i="114"/>
  <c r="A483" i="114" s="1"/>
  <c r="C482" i="114"/>
  <c r="A482" i="114" s="1"/>
  <c r="C481" i="114"/>
  <c r="A481" i="114" s="1"/>
  <c r="C480" i="114"/>
  <c r="A480" i="114" s="1"/>
  <c r="C479" i="114"/>
  <c r="A479" i="114" s="1"/>
  <c r="C478" i="114"/>
  <c r="A478" i="114" s="1"/>
  <c r="C477" i="114"/>
  <c r="A477" i="114" s="1"/>
  <c r="C444" i="114"/>
  <c r="A444" i="114" s="1"/>
  <c r="C445" i="114"/>
  <c r="A445" i="114" s="1"/>
  <c r="C446" i="114"/>
  <c r="A446" i="114" s="1"/>
  <c r="C447" i="114"/>
  <c r="A447" i="114" s="1"/>
  <c r="C448" i="114"/>
  <c r="A448" i="114" s="1"/>
  <c r="C449" i="114"/>
  <c r="A449" i="114" s="1"/>
  <c r="C450" i="114"/>
  <c r="A450" i="114" s="1"/>
  <c r="C451" i="114"/>
  <c r="A451" i="114" s="1"/>
  <c r="C452" i="114"/>
  <c r="A452" i="114" s="1"/>
  <c r="C453" i="114"/>
  <c r="A453" i="114" s="1"/>
  <c r="C454" i="114"/>
  <c r="A454" i="114" s="1"/>
  <c r="C455" i="114"/>
  <c r="A455" i="114" s="1"/>
  <c r="C456" i="114"/>
  <c r="A456" i="114" s="1"/>
  <c r="C457" i="114"/>
  <c r="A457" i="114" s="1"/>
  <c r="C458" i="114"/>
  <c r="A458" i="114" s="1"/>
  <c r="C459" i="114"/>
  <c r="A459" i="114" s="1"/>
  <c r="C460" i="114"/>
  <c r="A460" i="114" s="1"/>
  <c r="C461" i="114"/>
  <c r="A461" i="114" s="1"/>
  <c r="C462" i="114"/>
  <c r="A462" i="114" s="1"/>
  <c r="C463" i="114"/>
  <c r="A463" i="114" s="1"/>
  <c r="C464" i="114"/>
  <c r="A464" i="114" s="1"/>
  <c r="C465" i="114"/>
  <c r="A465" i="114" s="1"/>
  <c r="C466" i="114"/>
  <c r="A466" i="114" s="1"/>
  <c r="C467" i="114"/>
  <c r="A467" i="114" s="1"/>
  <c r="C468" i="114"/>
  <c r="A468" i="114" s="1"/>
  <c r="C469" i="114"/>
  <c r="A469" i="114" s="1"/>
  <c r="C470" i="114"/>
  <c r="A470" i="114" s="1"/>
  <c r="C471" i="114"/>
  <c r="A471" i="114" s="1"/>
  <c r="C472" i="114"/>
  <c r="A472" i="114" s="1"/>
  <c r="C473" i="114"/>
  <c r="A473" i="114" s="1"/>
  <c r="C474" i="114"/>
  <c r="A474" i="114" s="1"/>
  <c r="C475" i="114"/>
  <c r="A475" i="114" s="1"/>
  <c r="C476" i="114"/>
  <c r="A476" i="114" s="1"/>
  <c r="C443" i="114"/>
  <c r="A443" i="114" s="1"/>
  <c r="C425" i="114"/>
  <c r="A425" i="114" s="1"/>
  <c r="C426" i="114"/>
  <c r="A426" i="114" s="1"/>
  <c r="C427" i="114"/>
  <c r="A427" i="114" s="1"/>
  <c r="C428" i="114"/>
  <c r="A428" i="114" s="1"/>
  <c r="C429" i="114"/>
  <c r="A429" i="114" s="1"/>
  <c r="C430" i="114"/>
  <c r="A430" i="114" s="1"/>
  <c r="C431" i="114"/>
  <c r="A431" i="114" s="1"/>
  <c r="C432" i="114"/>
  <c r="A432" i="114" s="1"/>
  <c r="C433" i="114"/>
  <c r="A433" i="114" s="1"/>
  <c r="C434" i="114"/>
  <c r="A434" i="114" s="1"/>
  <c r="C435" i="114"/>
  <c r="A435" i="114" s="1"/>
  <c r="C436" i="114"/>
  <c r="A436" i="114" s="1"/>
  <c r="C437" i="114"/>
  <c r="A437" i="114" s="1"/>
  <c r="C438" i="114"/>
  <c r="A438" i="114" s="1"/>
  <c r="C439" i="114"/>
  <c r="A439" i="114" s="1"/>
  <c r="C440" i="114"/>
  <c r="A440" i="114" s="1"/>
  <c r="C441" i="114"/>
  <c r="A441" i="114" s="1"/>
  <c r="C442" i="114"/>
  <c r="A442" i="114" s="1"/>
  <c r="C424" i="114"/>
  <c r="A424" i="114" s="1"/>
  <c r="C423" i="114"/>
  <c r="A423" i="114" s="1"/>
  <c r="C422" i="114"/>
  <c r="A422" i="114" s="1"/>
  <c r="C421" i="114"/>
  <c r="A421" i="114" s="1"/>
  <c r="C420" i="114"/>
  <c r="A420" i="114" s="1"/>
  <c r="C419" i="114"/>
  <c r="A419" i="114" s="1"/>
  <c r="C418" i="114"/>
  <c r="A418" i="114" s="1"/>
  <c r="C417" i="114"/>
  <c r="A417" i="114" s="1"/>
  <c r="C416" i="114"/>
  <c r="A416" i="114" s="1"/>
  <c r="C415" i="114"/>
  <c r="A415" i="114" s="1"/>
  <c r="C414" i="114"/>
  <c r="A414" i="114" s="1"/>
  <c r="C413" i="114"/>
  <c r="A413" i="114" s="1"/>
  <c r="C412" i="114"/>
  <c r="A412" i="114" s="1"/>
  <c r="C411" i="114"/>
  <c r="A411" i="114" s="1"/>
  <c r="C410" i="114"/>
  <c r="A410" i="114" s="1"/>
  <c r="C409" i="114"/>
  <c r="A409" i="114" s="1"/>
  <c r="C408" i="114"/>
  <c r="A408" i="114" s="1"/>
  <c r="C407" i="114"/>
  <c r="A407" i="114" s="1"/>
  <c r="C406" i="114"/>
  <c r="A406" i="114" s="1"/>
  <c r="C405" i="114"/>
  <c r="A405" i="114" s="1"/>
  <c r="C388" i="114"/>
  <c r="A388" i="114" s="1"/>
  <c r="C389" i="114"/>
  <c r="A389" i="114" s="1"/>
  <c r="C390" i="114"/>
  <c r="A390" i="114" s="1"/>
  <c r="C391" i="114"/>
  <c r="A391" i="114" s="1"/>
  <c r="C392" i="114"/>
  <c r="A392" i="114" s="1"/>
  <c r="C393" i="114"/>
  <c r="A393" i="114" s="1"/>
  <c r="C394" i="114"/>
  <c r="A394" i="114" s="1"/>
  <c r="C395" i="114"/>
  <c r="A395" i="114" s="1"/>
  <c r="C396" i="114"/>
  <c r="A396" i="114" s="1"/>
  <c r="C397" i="114"/>
  <c r="A397" i="114" s="1"/>
  <c r="C398" i="114"/>
  <c r="A398" i="114" s="1"/>
  <c r="C399" i="114"/>
  <c r="A399" i="114" s="1"/>
  <c r="C400" i="114"/>
  <c r="A400" i="114" s="1"/>
  <c r="C401" i="114"/>
  <c r="A401" i="114" s="1"/>
  <c r="C402" i="114"/>
  <c r="A402" i="114" s="1"/>
  <c r="C403" i="114"/>
  <c r="A403" i="114" s="1"/>
  <c r="C404" i="114"/>
  <c r="A404" i="114" s="1"/>
  <c r="C387" i="114"/>
  <c r="A387" i="114" s="1"/>
  <c r="E385" i="114"/>
  <c r="C386" i="114"/>
  <c r="A386" i="114" s="1"/>
  <c r="C385" i="114"/>
  <c r="A385" i="114" s="1"/>
  <c r="C384" i="114"/>
  <c r="A384" i="114" s="1"/>
  <c r="C383" i="114"/>
  <c r="A383" i="114" s="1"/>
  <c r="C382" i="114"/>
  <c r="A382" i="114" s="1"/>
  <c r="C381" i="114"/>
  <c r="A381" i="114" s="1"/>
  <c r="C380" i="114"/>
  <c r="A380" i="114" s="1"/>
  <c r="C379" i="114"/>
  <c r="A379" i="114" s="1"/>
  <c r="C378" i="114"/>
  <c r="A378" i="114" s="1"/>
  <c r="C377" i="114"/>
  <c r="A377" i="114" s="1"/>
  <c r="C376" i="114"/>
  <c r="A376" i="114" s="1"/>
  <c r="C375" i="114"/>
  <c r="A375" i="114" s="1"/>
  <c r="C374" i="114"/>
  <c r="A374" i="114" s="1"/>
  <c r="C373" i="114"/>
  <c r="A373" i="114" s="1"/>
  <c r="C372" i="114"/>
  <c r="A372" i="114" s="1"/>
  <c r="C371" i="114"/>
  <c r="A371" i="114" s="1"/>
  <c r="C370" i="114"/>
  <c r="A370" i="114" s="1"/>
  <c r="C369" i="114"/>
  <c r="A369" i="114" s="1"/>
  <c r="C368" i="114"/>
  <c r="A368" i="114" s="1"/>
  <c r="C367" i="114"/>
  <c r="A367" i="114" s="1"/>
  <c r="C366" i="114"/>
  <c r="A366" i="114" s="1"/>
  <c r="E360" i="114"/>
  <c r="C365" i="114"/>
  <c r="A365" i="114" s="1"/>
  <c r="C364" i="114"/>
  <c r="A364" i="114" s="1"/>
  <c r="C363" i="114"/>
  <c r="A363" i="114" s="1"/>
  <c r="C362" i="114"/>
  <c r="A362" i="114" s="1"/>
  <c r="C361" i="114"/>
  <c r="A361" i="114" s="1"/>
  <c r="C360" i="114"/>
  <c r="A360" i="114" s="1"/>
  <c r="C359" i="114"/>
  <c r="A359" i="114" s="1"/>
  <c r="C358" i="114"/>
  <c r="A358" i="114" s="1"/>
  <c r="C357" i="114"/>
  <c r="A357" i="114" s="1"/>
  <c r="C356" i="114"/>
  <c r="A356" i="114" s="1"/>
  <c r="C335" i="114"/>
  <c r="A335" i="114" s="1"/>
  <c r="C336" i="114"/>
  <c r="A336" i="114" s="1"/>
  <c r="C337" i="114"/>
  <c r="A337" i="114" s="1"/>
  <c r="C338" i="114"/>
  <c r="A338" i="114" s="1"/>
  <c r="C339" i="114"/>
  <c r="A339" i="114" s="1"/>
  <c r="C340" i="114"/>
  <c r="A340" i="114" s="1"/>
  <c r="C341" i="114"/>
  <c r="A341" i="114" s="1"/>
  <c r="C342" i="114"/>
  <c r="A342" i="114" s="1"/>
  <c r="C343" i="114"/>
  <c r="A343" i="114" s="1"/>
  <c r="C344" i="114"/>
  <c r="A344" i="114" s="1"/>
  <c r="C345" i="114"/>
  <c r="A345" i="114" s="1"/>
  <c r="C346" i="114"/>
  <c r="A346" i="114" s="1"/>
  <c r="C347" i="114"/>
  <c r="A347" i="114" s="1"/>
  <c r="C348" i="114"/>
  <c r="A348" i="114" s="1"/>
  <c r="C349" i="114"/>
  <c r="A349" i="114" s="1"/>
  <c r="C350" i="114"/>
  <c r="A350" i="114" s="1"/>
  <c r="C351" i="114"/>
  <c r="A351" i="114" s="1"/>
  <c r="C352" i="114"/>
  <c r="A352" i="114" s="1"/>
  <c r="C353" i="114"/>
  <c r="A353" i="114" s="1"/>
  <c r="C354" i="114"/>
  <c r="A354" i="114" s="1"/>
  <c r="C355" i="114"/>
  <c r="A355" i="114" s="1"/>
  <c r="C334" i="114"/>
  <c r="A334" i="114" s="1"/>
  <c r="F333" i="114"/>
  <c r="C333" i="114"/>
  <c r="A333" i="114" s="1"/>
  <c r="C332" i="114"/>
  <c r="A332" i="114" s="1"/>
  <c r="C331" i="114"/>
  <c r="A331" i="114" s="1"/>
  <c r="C330" i="114"/>
  <c r="A330" i="114" s="1"/>
  <c r="C329" i="114"/>
  <c r="A329" i="114" s="1"/>
  <c r="C328" i="114"/>
  <c r="A328" i="114" s="1"/>
  <c r="C327" i="114"/>
  <c r="A327" i="114" s="1"/>
  <c r="C326" i="114"/>
  <c r="A326" i="114" s="1"/>
  <c r="C325" i="114"/>
  <c r="A325" i="114" s="1"/>
  <c r="C324" i="114"/>
  <c r="A324" i="114" s="1"/>
  <c r="C323" i="114"/>
  <c r="A323" i="114" s="1"/>
  <c r="C322" i="114"/>
  <c r="A322" i="114" s="1"/>
  <c r="C321" i="114"/>
  <c r="A321" i="114" s="1"/>
  <c r="C320" i="114"/>
  <c r="A320" i="114" s="1"/>
  <c r="C319" i="114"/>
  <c r="A319" i="114" s="1"/>
  <c r="C318" i="114"/>
  <c r="A318" i="114" s="1"/>
  <c r="C317" i="114"/>
  <c r="A317" i="114" s="1"/>
  <c r="C316" i="114"/>
  <c r="A316" i="114" s="1"/>
  <c r="C315" i="114"/>
  <c r="A315" i="114" s="1"/>
  <c r="C314" i="114"/>
  <c r="A314" i="114" s="1"/>
  <c r="C313" i="114"/>
  <c r="A313" i="114" s="1"/>
  <c r="C312" i="114"/>
  <c r="A312" i="114" s="1"/>
  <c r="F311" i="114" l="1"/>
  <c r="E311" i="114"/>
  <c r="C288" i="114"/>
  <c r="A288" i="114" s="1"/>
  <c r="C289" i="114"/>
  <c r="A289" i="114" s="1"/>
  <c r="C290" i="114"/>
  <c r="A290" i="114" s="1"/>
  <c r="C291" i="114"/>
  <c r="A291" i="114" s="1"/>
  <c r="C292" i="114"/>
  <c r="A292" i="114" s="1"/>
  <c r="C293" i="114"/>
  <c r="A293" i="114" s="1"/>
  <c r="C294" i="114"/>
  <c r="A294" i="114" s="1"/>
  <c r="C295" i="114"/>
  <c r="A295" i="114" s="1"/>
  <c r="C296" i="114"/>
  <c r="A296" i="114" s="1"/>
  <c r="C297" i="114"/>
  <c r="A297" i="114" s="1"/>
  <c r="C298" i="114"/>
  <c r="A298" i="114" s="1"/>
  <c r="C299" i="114"/>
  <c r="A299" i="114" s="1"/>
  <c r="C300" i="114"/>
  <c r="A300" i="114" s="1"/>
  <c r="C301" i="114"/>
  <c r="A301" i="114" s="1"/>
  <c r="C302" i="114"/>
  <c r="A302" i="114" s="1"/>
  <c r="C303" i="114"/>
  <c r="A303" i="114" s="1"/>
  <c r="C304" i="114"/>
  <c r="A304" i="114" s="1"/>
  <c r="C305" i="114"/>
  <c r="A305" i="114" s="1"/>
  <c r="C306" i="114"/>
  <c r="A306" i="114" s="1"/>
  <c r="C307" i="114"/>
  <c r="A307" i="114" s="1"/>
  <c r="C308" i="114"/>
  <c r="A308" i="114" s="1"/>
  <c r="C309" i="114"/>
  <c r="A309" i="114" s="1"/>
  <c r="C310" i="114"/>
  <c r="A310" i="114" s="1"/>
  <c r="C311" i="114"/>
  <c r="A311" i="114" s="1"/>
  <c r="C287" i="114"/>
  <c r="A287" i="114" s="1"/>
  <c r="F284" i="114"/>
  <c r="C258" i="114"/>
  <c r="A258" i="114" s="1"/>
  <c r="C259" i="114"/>
  <c r="A259" i="114" s="1"/>
  <c r="C260" i="114"/>
  <c r="A260" i="114" s="1"/>
  <c r="C261" i="114"/>
  <c r="A261" i="114" s="1"/>
  <c r="C262" i="114"/>
  <c r="A262" i="114" s="1"/>
  <c r="C263" i="114"/>
  <c r="A263" i="114" s="1"/>
  <c r="C264" i="114"/>
  <c r="A264" i="114" s="1"/>
  <c r="C265" i="114"/>
  <c r="A265" i="114" s="1"/>
  <c r="C266" i="114"/>
  <c r="A266" i="114" s="1"/>
  <c r="C267" i="114"/>
  <c r="A267" i="114" s="1"/>
  <c r="C268" i="114"/>
  <c r="A268" i="114" s="1"/>
  <c r="C269" i="114"/>
  <c r="A269" i="114" s="1"/>
  <c r="C270" i="114"/>
  <c r="A270" i="114" s="1"/>
  <c r="C271" i="114"/>
  <c r="A271" i="114" s="1"/>
  <c r="C272" i="114"/>
  <c r="A272" i="114" s="1"/>
  <c r="C273" i="114"/>
  <c r="A273" i="114" s="1"/>
  <c r="C274" i="114"/>
  <c r="A274" i="114" s="1"/>
  <c r="C275" i="114"/>
  <c r="A275" i="114" s="1"/>
  <c r="C276" i="114"/>
  <c r="A276" i="114" s="1"/>
  <c r="C277" i="114"/>
  <c r="A277" i="114" s="1"/>
  <c r="C278" i="114"/>
  <c r="A278" i="114" s="1"/>
  <c r="C279" i="114"/>
  <c r="A279" i="114" s="1"/>
  <c r="C280" i="114"/>
  <c r="A280" i="114" s="1"/>
  <c r="C281" i="114"/>
  <c r="A281" i="114" s="1"/>
  <c r="C282" i="114"/>
  <c r="A282" i="114" s="1"/>
  <c r="C283" i="114"/>
  <c r="A283" i="114" s="1"/>
  <c r="C284" i="114"/>
  <c r="A284" i="114" s="1"/>
  <c r="C285" i="114"/>
  <c r="A285" i="114" s="1"/>
  <c r="C286" i="114"/>
  <c r="A286" i="114" s="1"/>
  <c r="C257" i="114"/>
  <c r="A257" i="114" s="1"/>
  <c r="C247" i="114"/>
  <c r="A247" i="114" s="1"/>
  <c r="C248" i="114"/>
  <c r="A248" i="114" s="1"/>
  <c r="C249" i="114"/>
  <c r="A249" i="114" s="1"/>
  <c r="C250" i="114"/>
  <c r="A250" i="114" s="1"/>
  <c r="C251" i="114"/>
  <c r="A251" i="114" s="1"/>
  <c r="C252" i="114"/>
  <c r="A252" i="114" s="1"/>
  <c r="C253" i="114"/>
  <c r="A253" i="114" s="1"/>
  <c r="C254" i="114"/>
  <c r="A254" i="114" s="1"/>
  <c r="C255" i="114"/>
  <c r="A255" i="114" s="1"/>
  <c r="C256" i="114"/>
  <c r="A256" i="114" s="1"/>
  <c r="C246" i="114"/>
  <c r="A246" i="114" s="1"/>
  <c r="C245" i="114"/>
  <c r="A245" i="114" s="1"/>
  <c r="C244" i="114"/>
  <c r="A244" i="114" s="1"/>
  <c r="C243" i="114"/>
  <c r="A243" i="114" s="1"/>
  <c r="C242" i="114"/>
  <c r="A242" i="114" s="1"/>
  <c r="C241" i="114"/>
  <c r="A241" i="114" s="1"/>
  <c r="C240" i="114"/>
  <c r="A240" i="114" s="1"/>
  <c r="C239" i="114"/>
  <c r="A239" i="114" s="1"/>
  <c r="C238" i="114"/>
  <c r="A238" i="114" s="1"/>
  <c r="C237" i="114"/>
  <c r="A237" i="114" s="1"/>
  <c r="C236" i="114"/>
  <c r="A236" i="114" s="1"/>
  <c r="C235" i="114"/>
  <c r="A235" i="114" s="1"/>
  <c r="C234" i="114"/>
  <c r="A234" i="114" s="1"/>
  <c r="C233" i="114"/>
  <c r="A233" i="114" s="1"/>
  <c r="C232" i="114"/>
  <c r="A232" i="114" s="1"/>
  <c r="C231" i="114"/>
  <c r="A231" i="114" s="1"/>
  <c r="C230" i="114"/>
  <c r="A230" i="114" s="1"/>
  <c r="C229" i="114"/>
  <c r="A229" i="114" s="1"/>
  <c r="C228" i="114"/>
  <c r="A228" i="114" s="1"/>
  <c r="C227" i="114"/>
  <c r="A227" i="114" s="1"/>
  <c r="C226" i="114"/>
  <c r="A226" i="114" s="1"/>
  <c r="C225" i="114"/>
  <c r="A225" i="114" s="1"/>
  <c r="C224" i="114"/>
  <c r="A224" i="114" s="1"/>
  <c r="C223" i="114"/>
  <c r="A223" i="114" s="1"/>
  <c r="C222" i="114"/>
  <c r="A222" i="114" s="1"/>
  <c r="C221" i="114"/>
  <c r="A221" i="114" s="1"/>
  <c r="C220" i="114"/>
  <c r="A220" i="114" s="1"/>
  <c r="C219" i="114"/>
  <c r="A219" i="114" s="1"/>
  <c r="C218" i="114"/>
  <c r="A218" i="114" s="1"/>
  <c r="C217" i="114"/>
  <c r="A217" i="114" s="1"/>
  <c r="C216" i="114"/>
  <c r="A216" i="114" s="1"/>
  <c r="C215" i="114"/>
  <c r="A215" i="114" s="1"/>
  <c r="C214" i="114"/>
  <c r="A214" i="114" s="1"/>
  <c r="C213" i="114"/>
  <c r="A213" i="114" s="1"/>
  <c r="C212" i="114"/>
  <c r="A212" i="114" s="1"/>
  <c r="C211" i="114"/>
  <c r="A211" i="114" s="1"/>
  <c r="C210" i="114"/>
  <c r="A210" i="114" s="1"/>
  <c r="C209" i="114"/>
  <c r="A209" i="114" s="1"/>
  <c r="C208" i="114"/>
  <c r="A208" i="114" s="1"/>
  <c r="C207" i="114"/>
  <c r="A207" i="114" s="1"/>
  <c r="C206" i="114"/>
  <c r="A206" i="114" s="1"/>
  <c r="C197" i="114"/>
  <c r="A197" i="114" s="1"/>
  <c r="C198" i="114"/>
  <c r="A198" i="114" s="1"/>
  <c r="C199" i="114"/>
  <c r="A199" i="114" s="1"/>
  <c r="C200" i="114"/>
  <c r="A200" i="114" s="1"/>
  <c r="C201" i="114"/>
  <c r="A201" i="114" s="1"/>
  <c r="C202" i="114"/>
  <c r="A202" i="114" s="1"/>
  <c r="C203" i="114"/>
  <c r="A203" i="114" s="1"/>
  <c r="C204" i="114"/>
  <c r="A204" i="114" s="1"/>
  <c r="C205" i="114"/>
  <c r="A205" i="114" s="1"/>
  <c r="C196" i="114"/>
  <c r="A196" i="114" s="1"/>
  <c r="C195" i="114"/>
  <c r="A195" i="114" s="1"/>
  <c r="C194" i="114"/>
  <c r="A194" i="114" s="1"/>
  <c r="C193" i="114"/>
  <c r="A193" i="114" s="1"/>
  <c r="C192" i="114"/>
  <c r="A192" i="114" s="1"/>
  <c r="C191" i="114"/>
  <c r="A191" i="114" s="1"/>
  <c r="C190" i="114"/>
  <c r="A190" i="114" s="1"/>
  <c r="C189" i="114"/>
  <c r="A189" i="114" s="1"/>
  <c r="C188" i="114"/>
  <c r="A188" i="114" s="1"/>
  <c r="C187" i="114"/>
  <c r="A187" i="114" s="1"/>
  <c r="C186" i="114"/>
  <c r="A186" i="114" s="1"/>
  <c r="C185" i="114"/>
  <c r="A185" i="114" s="1"/>
  <c r="C184" i="114"/>
  <c r="A184" i="114" s="1"/>
  <c r="C183" i="114"/>
  <c r="A183" i="114" s="1"/>
  <c r="C182" i="114"/>
  <c r="A182" i="114" s="1"/>
  <c r="C181" i="114"/>
  <c r="A181" i="114" s="1"/>
  <c r="C180" i="114"/>
  <c r="A180" i="114" s="1"/>
  <c r="C179" i="114"/>
  <c r="A179" i="114" s="1"/>
  <c r="C178" i="114"/>
  <c r="A178" i="114" s="1"/>
  <c r="C177" i="114"/>
  <c r="A177" i="114" s="1"/>
  <c r="C148" i="114"/>
  <c r="A148" i="114" s="1"/>
  <c r="C149" i="114"/>
  <c r="A149" i="114" s="1"/>
  <c r="C150" i="114"/>
  <c r="A150" i="114" s="1"/>
  <c r="C151" i="114"/>
  <c r="A151" i="114" s="1"/>
  <c r="C152" i="114"/>
  <c r="A152" i="114" s="1"/>
  <c r="C153" i="114"/>
  <c r="A153" i="114" s="1"/>
  <c r="C154" i="114"/>
  <c r="A154" i="114" s="1"/>
  <c r="C155" i="114"/>
  <c r="A155" i="114" s="1"/>
  <c r="C156" i="114"/>
  <c r="A156" i="114" s="1"/>
  <c r="C157" i="114"/>
  <c r="A157" i="114" s="1"/>
  <c r="C158" i="114"/>
  <c r="A158" i="114" s="1"/>
  <c r="C159" i="114"/>
  <c r="A159" i="114" s="1"/>
  <c r="C160" i="114"/>
  <c r="A160" i="114" s="1"/>
  <c r="C161" i="114"/>
  <c r="A161" i="114" s="1"/>
  <c r="C162" i="114"/>
  <c r="A162" i="114" s="1"/>
  <c r="C163" i="114"/>
  <c r="A163" i="114" s="1"/>
  <c r="C164" i="114"/>
  <c r="A164" i="114" s="1"/>
  <c r="C165" i="114"/>
  <c r="A165" i="114" s="1"/>
  <c r="C166" i="114"/>
  <c r="A166" i="114" s="1"/>
  <c r="C167" i="114"/>
  <c r="A167" i="114" s="1"/>
  <c r="C168" i="114"/>
  <c r="A168" i="114" s="1"/>
  <c r="C169" i="114"/>
  <c r="A169" i="114" s="1"/>
  <c r="C170" i="114"/>
  <c r="A170" i="114" s="1"/>
  <c r="C171" i="114"/>
  <c r="A171" i="114" s="1"/>
  <c r="C172" i="114"/>
  <c r="A172" i="114" s="1"/>
  <c r="C173" i="114"/>
  <c r="A173" i="114" s="1"/>
  <c r="C174" i="114"/>
  <c r="A174" i="114" s="1"/>
  <c r="C175" i="114"/>
  <c r="A175" i="114" s="1"/>
  <c r="C176" i="114"/>
  <c r="A176" i="114" s="1"/>
  <c r="C147" i="114"/>
  <c r="A147" i="114" s="1"/>
  <c r="C116" i="114"/>
  <c r="A116" i="114" s="1"/>
  <c r="C115" i="114"/>
  <c r="A115" i="114" s="1"/>
  <c r="C114" i="114"/>
  <c r="A114" i="114" s="1"/>
  <c r="C113" i="114"/>
  <c r="A113" i="114" s="1"/>
  <c r="C112" i="114"/>
  <c r="A112" i="114" s="1"/>
  <c r="C111" i="114"/>
  <c r="A111" i="114" s="1"/>
  <c r="C110" i="114"/>
  <c r="A110" i="114" s="1"/>
  <c r="C109" i="114"/>
  <c r="A109" i="114" s="1"/>
  <c r="C108" i="114"/>
  <c r="A108" i="114" s="1"/>
  <c r="C107" i="114"/>
  <c r="A107" i="114" s="1"/>
  <c r="C106" i="114"/>
  <c r="A106" i="114" s="1"/>
  <c r="C105" i="114"/>
  <c r="A105" i="114" s="1"/>
  <c r="C104" i="114"/>
  <c r="A104" i="114" s="1"/>
  <c r="C103" i="114"/>
  <c r="A103" i="114" s="1"/>
  <c r="C102" i="114"/>
  <c r="A102" i="114" s="1"/>
  <c r="C101" i="114"/>
  <c r="A101" i="114" s="1"/>
  <c r="C100" i="114"/>
  <c r="A100" i="114" s="1"/>
  <c r="C99" i="114"/>
  <c r="A99" i="114" s="1"/>
  <c r="C98" i="114"/>
  <c r="A98" i="114" s="1"/>
  <c r="C97" i="114"/>
  <c r="A97" i="114" s="1"/>
  <c r="C96" i="114"/>
  <c r="A96" i="114" s="1"/>
  <c r="C95" i="114"/>
  <c r="A95" i="114" s="1"/>
  <c r="C94" i="114"/>
  <c r="A94" i="114" s="1"/>
  <c r="C93" i="114"/>
  <c r="A93" i="114" s="1"/>
  <c r="C92" i="114"/>
  <c r="A92" i="114" s="1"/>
  <c r="C91" i="114"/>
  <c r="A91" i="114" s="1"/>
  <c r="C90" i="114"/>
  <c r="A90" i="114" s="1"/>
  <c r="C89" i="114"/>
  <c r="A89" i="114" s="1"/>
  <c r="C88" i="114"/>
  <c r="A88" i="114" s="1"/>
  <c r="C87" i="114"/>
  <c r="A87" i="114" s="1"/>
  <c r="C86" i="114"/>
  <c r="A86" i="114" s="1"/>
  <c r="C85" i="114"/>
  <c r="A85" i="114" s="1"/>
  <c r="C84" i="114"/>
  <c r="A84" i="114" s="1"/>
  <c r="C83" i="114"/>
  <c r="A83" i="114" s="1"/>
  <c r="C82" i="114"/>
  <c r="A82" i="114" s="1"/>
  <c r="C81" i="114"/>
  <c r="A81" i="114" s="1"/>
  <c r="C80" i="114"/>
  <c r="A80" i="114" s="1"/>
  <c r="C79" i="114"/>
  <c r="A79" i="114" s="1"/>
  <c r="C78" i="114"/>
  <c r="A78" i="114" s="1"/>
  <c r="C77" i="114"/>
  <c r="A77" i="114" s="1"/>
  <c r="C76" i="114"/>
  <c r="A76" i="114" s="1"/>
  <c r="C75" i="114"/>
  <c r="A75" i="114" s="1"/>
  <c r="C74" i="114"/>
  <c r="A74" i="114" s="1"/>
  <c r="C73" i="114"/>
  <c r="A73" i="114" s="1"/>
  <c r="C72" i="114"/>
  <c r="A72" i="114" s="1"/>
  <c r="C71" i="114"/>
  <c r="A71" i="114" s="1"/>
  <c r="C70" i="114"/>
  <c r="A70" i="114" s="1"/>
  <c r="C69" i="114"/>
  <c r="A69" i="114" s="1"/>
  <c r="C68" i="114"/>
  <c r="A68" i="114" s="1"/>
  <c r="C67" i="114"/>
  <c r="A67" i="114" s="1"/>
  <c r="C66" i="114"/>
  <c r="A66" i="114" s="1"/>
  <c r="C65" i="114"/>
  <c r="A65" i="114" s="1"/>
  <c r="C64" i="114"/>
  <c r="A64" i="114" s="1"/>
  <c r="C63" i="114"/>
  <c r="A63" i="114" s="1"/>
  <c r="C62" i="114"/>
  <c r="A62" i="114" s="1"/>
  <c r="C61" i="114"/>
  <c r="A61" i="114" s="1"/>
  <c r="C60" i="114"/>
  <c r="A60" i="114" s="1"/>
  <c r="C59" i="114"/>
  <c r="A59" i="114" s="1"/>
  <c r="C58" i="114"/>
  <c r="A58" i="114" s="1"/>
  <c r="C57" i="114"/>
  <c r="A57" i="114" s="1"/>
  <c r="C56" i="114"/>
  <c r="A56" i="114" s="1"/>
  <c r="C55" i="114"/>
  <c r="A55" i="114" s="1"/>
  <c r="C54" i="114"/>
  <c r="A54" i="114" s="1"/>
  <c r="C53" i="114"/>
  <c r="A53" i="114" s="1"/>
  <c r="C52" i="114"/>
  <c r="A52" i="114" s="1"/>
  <c r="C51" i="114"/>
  <c r="A51" i="114" s="1"/>
  <c r="C50" i="114"/>
  <c r="A50" i="114" s="1"/>
  <c r="C49" i="114"/>
  <c r="A49" i="114" s="1"/>
  <c r="C48" i="114"/>
  <c r="A48" i="114" s="1"/>
  <c r="C47" i="114"/>
  <c r="A47" i="114" s="1"/>
  <c r="C46" i="114"/>
  <c r="A46" i="114" s="1"/>
  <c r="C45" i="114"/>
  <c r="A45" i="114" s="1"/>
  <c r="C44" i="114"/>
  <c r="A44" i="114" s="1"/>
  <c r="C43" i="114"/>
  <c r="A43" i="114" s="1"/>
  <c r="C42" i="114"/>
  <c r="A42" i="114" s="1"/>
  <c r="C41" i="114"/>
  <c r="A41" i="114" s="1"/>
  <c r="C40" i="114"/>
  <c r="A40" i="114" s="1"/>
  <c r="C39" i="114"/>
  <c r="A39" i="114" s="1"/>
  <c r="C38" i="114"/>
  <c r="A38" i="114" s="1"/>
  <c r="C37" i="114"/>
  <c r="A37" i="114" s="1"/>
  <c r="C36" i="114"/>
  <c r="A36" i="114" s="1"/>
  <c r="C35" i="114"/>
  <c r="A35" i="114" s="1"/>
  <c r="C34" i="114"/>
  <c r="A34" i="114" s="1"/>
  <c r="C33" i="114"/>
  <c r="A33" i="114" s="1"/>
  <c r="C32" i="114"/>
  <c r="A32" i="114" s="1"/>
  <c r="C31" i="114"/>
  <c r="A31" i="114" s="1"/>
  <c r="C30" i="114"/>
  <c r="A30" i="114" s="1"/>
  <c r="C29" i="114"/>
  <c r="A29" i="114" s="1"/>
  <c r="C28" i="114"/>
  <c r="A28" i="114" s="1"/>
  <c r="C27" i="114"/>
  <c r="A27" i="114" s="1"/>
  <c r="C26" i="114"/>
  <c r="A26" i="114" s="1"/>
  <c r="C25" i="114"/>
  <c r="A25" i="114" s="1"/>
  <c r="C24" i="114"/>
  <c r="A24" i="114" s="1"/>
  <c r="C23" i="114"/>
  <c r="A23" i="114" s="1"/>
  <c r="C22" i="114"/>
  <c r="A22" i="114" s="1"/>
  <c r="C21" i="114"/>
  <c r="A21" i="114" s="1"/>
  <c r="C20" i="114"/>
  <c r="A20" i="114" s="1"/>
  <c r="C19" i="114"/>
  <c r="A19" i="114" s="1"/>
  <c r="C18" i="114"/>
  <c r="A18" i="114" s="1"/>
  <c r="C17" i="114"/>
  <c r="A17" i="114" s="1"/>
  <c r="C16" i="114"/>
  <c r="A16" i="114" s="1"/>
  <c r="C15" i="114"/>
  <c r="A15" i="114" s="1"/>
  <c r="C14" i="114"/>
  <c r="A14" i="114" s="1"/>
  <c r="C13" i="114"/>
  <c r="A13" i="114" s="1"/>
  <c r="C12" i="114"/>
  <c r="A12" i="114" s="1"/>
  <c r="C11" i="114"/>
  <c r="A11" i="114" s="1"/>
  <c r="C10" i="114"/>
  <c r="A10" i="114" s="1"/>
  <c r="C9" i="114"/>
  <c r="A9" i="114" s="1"/>
  <c r="C8" i="114"/>
  <c r="A8" i="114" s="1"/>
  <c r="C7" i="114"/>
  <c r="A7" i="114" s="1"/>
  <c r="C6" i="114"/>
  <c r="A6" i="114" s="1"/>
  <c r="C5" i="114"/>
  <c r="A5" i="114" s="1"/>
  <c r="C4" i="114"/>
  <c r="A4" i="114" s="1"/>
  <c r="C3" i="114"/>
  <c r="A3" i="114" s="1"/>
  <c r="C2" i="114"/>
  <c r="A2" i="114" s="1"/>
  <c r="C118" i="114"/>
  <c r="A118" i="114" s="1"/>
  <c r="C119" i="114"/>
  <c r="A119" i="114" s="1"/>
  <c r="C120" i="114"/>
  <c r="A120" i="114" s="1"/>
  <c r="C121" i="114"/>
  <c r="A121" i="114" s="1"/>
  <c r="C122" i="114"/>
  <c r="A122" i="114" s="1"/>
  <c r="C123" i="114"/>
  <c r="A123" i="114" s="1"/>
  <c r="C124" i="114"/>
  <c r="A124" i="114" s="1"/>
  <c r="C125" i="114"/>
  <c r="A125" i="114" s="1"/>
  <c r="C126" i="114"/>
  <c r="A126" i="114" s="1"/>
  <c r="C127" i="114"/>
  <c r="A127" i="114" s="1"/>
  <c r="C128" i="114"/>
  <c r="A128" i="114" s="1"/>
  <c r="C129" i="114"/>
  <c r="A129" i="114" s="1"/>
  <c r="C130" i="114"/>
  <c r="A130" i="114" s="1"/>
  <c r="C131" i="114"/>
  <c r="A131" i="114" s="1"/>
  <c r="C132" i="114"/>
  <c r="A132" i="114" s="1"/>
  <c r="C133" i="114"/>
  <c r="A133" i="114" s="1"/>
  <c r="C134" i="114"/>
  <c r="A134" i="114" s="1"/>
  <c r="C135" i="114"/>
  <c r="A135" i="114" s="1"/>
  <c r="C136" i="114"/>
  <c r="A136" i="114" s="1"/>
  <c r="C137" i="114"/>
  <c r="A137" i="114" s="1"/>
  <c r="C138" i="114"/>
  <c r="A138" i="114" s="1"/>
  <c r="C139" i="114"/>
  <c r="A139" i="114" s="1"/>
  <c r="C140" i="114"/>
  <c r="A140" i="114" s="1"/>
  <c r="C141" i="114"/>
  <c r="A141" i="114" s="1"/>
  <c r="C142" i="114"/>
  <c r="A142" i="114" s="1"/>
  <c r="C143" i="114"/>
  <c r="A143" i="114" s="1"/>
  <c r="C144" i="114"/>
  <c r="A144" i="114" s="1"/>
  <c r="C145" i="114"/>
  <c r="A145" i="114" s="1"/>
  <c r="C146" i="114"/>
  <c r="A146" i="114" s="1"/>
  <c r="C117" i="114"/>
  <c r="A117" i="114" s="1"/>
  <c r="E90" i="114"/>
  <c r="E575" i="114" l="1"/>
  <c r="E574" i="114"/>
  <c r="E573" i="114"/>
  <c r="E572" i="114"/>
  <c r="E571" i="114"/>
  <c r="E580" i="114" l="1"/>
  <c r="E579" i="114"/>
  <c r="E578" i="114"/>
  <c r="E577" i="114"/>
  <c r="F570" i="114"/>
  <c r="E570" i="114"/>
  <c r="F569" i="114"/>
  <c r="E569" i="114"/>
  <c r="F568" i="114"/>
  <c r="E568" i="114"/>
  <c r="F567" i="114"/>
  <c r="E567" i="114"/>
  <c r="F566" i="114"/>
  <c r="E566" i="114"/>
  <c r="F565" i="114"/>
  <c r="E565" i="114"/>
  <c r="F564" i="114"/>
  <c r="E564" i="114"/>
  <c r="F563" i="114"/>
  <c r="E563" i="114"/>
  <c r="F562" i="114"/>
  <c r="E562" i="114"/>
  <c r="F561" i="114"/>
  <c r="E561" i="114"/>
  <c r="F560" i="114"/>
  <c r="E560" i="114"/>
  <c r="F365" i="114"/>
  <c r="E365" i="114"/>
  <c r="F364" i="114"/>
  <c r="E364" i="114"/>
  <c r="F363" i="114"/>
  <c r="E363" i="114"/>
  <c r="F362" i="114"/>
  <c r="E362" i="114"/>
  <c r="F361" i="114"/>
  <c r="E361" i="114"/>
  <c r="F360" i="114"/>
  <c r="F359" i="114"/>
  <c r="E359" i="114"/>
  <c r="F358" i="114"/>
  <c r="E358" i="114"/>
  <c r="F357" i="114"/>
  <c r="E357" i="114"/>
  <c r="F356" i="114"/>
  <c r="E356" i="114"/>
  <c r="F386" i="114"/>
  <c r="E386" i="114"/>
  <c r="F385" i="114"/>
  <c r="F384" i="114"/>
  <c r="E384" i="114"/>
  <c r="F383" i="114"/>
  <c r="E383" i="114"/>
  <c r="F382" i="114"/>
  <c r="E382" i="114"/>
  <c r="F381" i="114"/>
  <c r="E381" i="114"/>
  <c r="F380" i="114"/>
  <c r="E380" i="114"/>
  <c r="F379" i="114"/>
  <c r="E379" i="114"/>
  <c r="F378" i="114"/>
  <c r="E378" i="114"/>
  <c r="F377" i="114"/>
  <c r="E377" i="114"/>
  <c r="F376" i="114"/>
  <c r="E376" i="114"/>
  <c r="F375" i="114"/>
  <c r="E375" i="114"/>
  <c r="F374" i="114"/>
  <c r="E374" i="114"/>
  <c r="F373" i="114"/>
  <c r="E373" i="114"/>
  <c r="F372" i="114"/>
  <c r="E372" i="114"/>
  <c r="F371" i="114"/>
  <c r="E371" i="114"/>
  <c r="F370" i="114"/>
  <c r="E370" i="114"/>
  <c r="F369" i="114"/>
  <c r="E369" i="114"/>
  <c r="F368" i="114"/>
  <c r="E368" i="114"/>
  <c r="F367" i="114"/>
  <c r="E367" i="114"/>
  <c r="F366" i="114"/>
  <c r="E366" i="114"/>
  <c r="E576" i="114" l="1"/>
  <c r="F43" i="20"/>
  <c r="G30" i="16"/>
  <c r="F30" i="16"/>
  <c r="F520" i="114" l="1"/>
  <c r="F519" i="114"/>
  <c r="F518" i="114"/>
  <c r="F517" i="114"/>
  <c r="F516" i="114"/>
  <c r="F515" i="114"/>
  <c r="F514" i="114"/>
  <c r="F513" i="114"/>
  <c r="F512" i="114"/>
  <c r="F511" i="114"/>
  <c r="F510" i="114"/>
  <c r="F509" i="114"/>
  <c r="F508" i="114"/>
  <c r="F507" i="114"/>
  <c r="F506" i="114"/>
  <c r="F505" i="114"/>
  <c r="F504" i="114"/>
  <c r="F503" i="114"/>
  <c r="F502" i="114"/>
  <c r="F501" i="114"/>
  <c r="F500" i="114"/>
  <c r="F499" i="114"/>
  <c r="F498" i="114"/>
  <c r="F497" i="114"/>
  <c r="F496" i="114"/>
  <c r="F495" i="114"/>
  <c r="F494" i="114"/>
  <c r="F493" i="114"/>
  <c r="F492" i="114"/>
  <c r="F491" i="114"/>
  <c r="F490" i="114"/>
  <c r="F489" i="114"/>
  <c r="F488" i="114"/>
  <c r="F487" i="114"/>
  <c r="F486" i="114"/>
  <c r="F485" i="114"/>
  <c r="F484" i="114"/>
  <c r="F483" i="114"/>
  <c r="F482" i="114"/>
  <c r="F481" i="114"/>
  <c r="F480" i="114"/>
  <c r="F479" i="114"/>
  <c r="F478" i="114"/>
  <c r="F477" i="114"/>
  <c r="F476" i="114"/>
  <c r="F475" i="114"/>
  <c r="F474" i="114"/>
  <c r="F473" i="114"/>
  <c r="F472" i="114"/>
  <c r="F471" i="114"/>
  <c r="F470" i="114"/>
  <c r="F469" i="114"/>
  <c r="F468" i="114"/>
  <c r="F467" i="114"/>
  <c r="F466" i="114"/>
  <c r="F465" i="114"/>
  <c r="F464" i="114"/>
  <c r="F463" i="114"/>
  <c r="F462" i="114"/>
  <c r="F461" i="114"/>
  <c r="F460" i="114"/>
  <c r="F459" i="114"/>
  <c r="F458" i="114"/>
  <c r="F457" i="114"/>
  <c r="F456" i="114"/>
  <c r="F455" i="114"/>
  <c r="F454" i="114"/>
  <c r="F453" i="114"/>
  <c r="F452" i="114"/>
  <c r="F451" i="114"/>
  <c r="F450" i="114"/>
  <c r="F449" i="114"/>
  <c r="F448" i="114"/>
  <c r="F447" i="114"/>
  <c r="F446" i="114"/>
  <c r="F445" i="114"/>
  <c r="F444" i="114"/>
  <c r="F443" i="114"/>
  <c r="F442" i="114"/>
  <c r="F441" i="114"/>
  <c r="F440" i="114"/>
  <c r="F439" i="114"/>
  <c r="F438" i="114"/>
  <c r="F437" i="114"/>
  <c r="F436" i="114"/>
  <c r="F435" i="114"/>
  <c r="F434" i="114"/>
  <c r="F433" i="114"/>
  <c r="F432" i="114"/>
  <c r="F431" i="114"/>
  <c r="F430" i="114"/>
  <c r="F429" i="114"/>
  <c r="F428" i="114"/>
  <c r="F427" i="114"/>
  <c r="F426" i="114"/>
  <c r="F425" i="114"/>
  <c r="F424" i="114"/>
  <c r="F423" i="114"/>
  <c r="F422" i="114"/>
  <c r="F421" i="114"/>
  <c r="F420" i="114"/>
  <c r="F419" i="114"/>
  <c r="F418" i="114"/>
  <c r="F417" i="114"/>
  <c r="F416" i="114"/>
  <c r="F415" i="114"/>
  <c r="F414" i="114"/>
  <c r="F413" i="114"/>
  <c r="F412" i="114"/>
  <c r="F411" i="114"/>
  <c r="F410" i="114"/>
  <c r="F409" i="114"/>
  <c r="F408" i="114"/>
  <c r="F407" i="114"/>
  <c r="F406" i="114"/>
  <c r="F405" i="114"/>
  <c r="F404" i="114"/>
  <c r="F403" i="114"/>
  <c r="F402" i="114"/>
  <c r="F401" i="114"/>
  <c r="F400" i="114"/>
  <c r="F399" i="114"/>
  <c r="F398" i="114"/>
  <c r="F397" i="114"/>
  <c r="F396" i="114"/>
  <c r="F395" i="114"/>
  <c r="F394" i="114"/>
  <c r="F393" i="114"/>
  <c r="F392" i="114"/>
  <c r="F391" i="114"/>
  <c r="F390" i="114"/>
  <c r="F389" i="114"/>
  <c r="F388" i="114"/>
  <c r="F387" i="114"/>
  <c r="F355" i="114"/>
  <c r="F354" i="114"/>
  <c r="F353" i="114"/>
  <c r="F352" i="114"/>
  <c r="F351" i="114"/>
  <c r="F350" i="114"/>
  <c r="F349" i="114"/>
  <c r="F348" i="114"/>
  <c r="F347" i="114"/>
  <c r="F346" i="114"/>
  <c r="F345" i="114"/>
  <c r="F344" i="114"/>
  <c r="F343" i="114"/>
  <c r="F342" i="114"/>
  <c r="F341" i="114"/>
  <c r="F340" i="114"/>
  <c r="F339" i="114"/>
  <c r="F338" i="114"/>
  <c r="F337" i="114"/>
  <c r="F336" i="114"/>
  <c r="F335" i="114"/>
  <c r="F334" i="114"/>
  <c r="F332" i="114"/>
  <c r="F331" i="114"/>
  <c r="F330" i="114"/>
  <c r="F329" i="114"/>
  <c r="F328" i="114"/>
  <c r="F327" i="114"/>
  <c r="F326" i="114"/>
  <c r="F325" i="114"/>
  <c r="F324" i="114"/>
  <c r="F323" i="114"/>
  <c r="F322" i="114"/>
  <c r="F321" i="114"/>
  <c r="F320" i="114"/>
  <c r="F319" i="114"/>
  <c r="F318" i="114"/>
  <c r="F317" i="114"/>
  <c r="F316" i="114"/>
  <c r="F315" i="114"/>
  <c r="F314" i="114"/>
  <c r="F313" i="114"/>
  <c r="F312" i="114"/>
  <c r="F310" i="114"/>
  <c r="F309" i="114"/>
  <c r="F308" i="114"/>
  <c r="F307" i="114"/>
  <c r="F306" i="114"/>
  <c r="F305" i="114"/>
  <c r="F304" i="114"/>
  <c r="F303" i="114"/>
  <c r="F302" i="114"/>
  <c r="F301" i="114"/>
  <c r="F300" i="114"/>
  <c r="F299" i="114"/>
  <c r="F298" i="114"/>
  <c r="F297" i="114"/>
  <c r="F296" i="114"/>
  <c r="F295" i="114"/>
  <c r="F294" i="114"/>
  <c r="F293" i="114"/>
  <c r="F292" i="114"/>
  <c r="F291" i="114"/>
  <c r="F290" i="114"/>
  <c r="F289" i="114"/>
  <c r="F288" i="114"/>
  <c r="F287" i="114"/>
  <c r="F286" i="114" l="1"/>
  <c r="F285" i="114"/>
  <c r="F283" i="114"/>
  <c r="F282" i="114"/>
  <c r="F281" i="114"/>
  <c r="F280" i="114"/>
  <c r="F279" i="114"/>
  <c r="F278" i="114"/>
  <c r="F277" i="114"/>
  <c r="F276" i="114"/>
  <c r="F275" i="114"/>
  <c r="F274" i="114"/>
  <c r="F273" i="114"/>
  <c r="F272" i="114"/>
  <c r="F271" i="114"/>
  <c r="F270" i="114"/>
  <c r="F269" i="114"/>
  <c r="F268" i="114"/>
  <c r="F267" i="114"/>
  <c r="F266" i="114"/>
  <c r="F265" i="114"/>
  <c r="F264" i="114"/>
  <c r="F263" i="114"/>
  <c r="F262" i="114"/>
  <c r="F261" i="114"/>
  <c r="F260" i="114"/>
  <c r="F259" i="114"/>
  <c r="F258" i="114"/>
  <c r="F257" i="114"/>
  <c r="F256" i="114"/>
  <c r="F255" i="114"/>
  <c r="F254" i="114"/>
  <c r="F253" i="114"/>
  <c r="F252" i="114"/>
  <c r="F251" i="114"/>
  <c r="F250" i="114"/>
  <c r="F249" i="114"/>
  <c r="F248" i="114"/>
  <c r="F247" i="114"/>
  <c r="F246" i="114"/>
  <c r="F245" i="114"/>
  <c r="E245" i="114"/>
  <c r="F244" i="114"/>
  <c r="E244" i="114"/>
  <c r="F243" i="114"/>
  <c r="E243" i="114"/>
  <c r="F242" i="114"/>
  <c r="E242" i="114"/>
  <c r="F241" i="114"/>
  <c r="E241" i="114"/>
  <c r="F240" i="114"/>
  <c r="E240" i="114"/>
  <c r="F239" i="114"/>
  <c r="E239" i="114"/>
  <c r="F238" i="114"/>
  <c r="E238" i="114"/>
  <c r="F237" i="114"/>
  <c r="E237" i="114"/>
  <c r="F236" i="114"/>
  <c r="E236" i="114"/>
  <c r="F235" i="114"/>
  <c r="E235" i="114"/>
  <c r="F234" i="114"/>
  <c r="E234" i="114"/>
  <c r="F233" i="114"/>
  <c r="F232" i="114"/>
  <c r="F231" i="114"/>
  <c r="F230" i="114"/>
  <c r="F229" i="114"/>
  <c r="F228" i="114"/>
  <c r="F227" i="114"/>
  <c r="F226" i="114"/>
  <c r="F225" i="114"/>
  <c r="F224" i="114"/>
  <c r="F223" i="114"/>
  <c r="F222" i="114"/>
  <c r="F221" i="114"/>
  <c r="F220" i="114"/>
  <c r="F219" i="114"/>
  <c r="F218" i="114"/>
  <c r="E218" i="114"/>
  <c r="F217" i="114"/>
  <c r="E217" i="114"/>
  <c r="F216" i="114"/>
  <c r="E216" i="114"/>
  <c r="F215" i="114"/>
  <c r="E215" i="114"/>
  <c r="F214" i="114"/>
  <c r="E214" i="114"/>
  <c r="F213" i="114"/>
  <c r="E213" i="114"/>
  <c r="F212" i="114"/>
  <c r="E212" i="114"/>
  <c r="F211" i="114"/>
  <c r="E211" i="114"/>
  <c r="F210" i="114"/>
  <c r="E210" i="114"/>
  <c r="F209" i="114"/>
  <c r="E209" i="114"/>
  <c r="F208" i="114"/>
  <c r="E208" i="114"/>
  <c r="F207" i="114"/>
  <c r="E207" i="114"/>
  <c r="F206" i="114"/>
  <c r="E206" i="114"/>
  <c r="F205" i="114"/>
  <c r="E205" i="114"/>
  <c r="F204" i="114"/>
  <c r="E204" i="114"/>
  <c r="F203" i="114"/>
  <c r="E203" i="114"/>
  <c r="F202" i="114"/>
  <c r="E202" i="114"/>
  <c r="F201" i="114"/>
  <c r="E201" i="114"/>
  <c r="F200" i="114"/>
  <c r="E200" i="114"/>
  <c r="F199" i="114"/>
  <c r="E199" i="114"/>
  <c r="F198" i="114"/>
  <c r="E198" i="114"/>
  <c r="F197" i="114"/>
  <c r="E197" i="114"/>
  <c r="F196" i="114"/>
  <c r="E196" i="114"/>
  <c r="F195" i="114"/>
  <c r="F194" i="114"/>
  <c r="F193" i="114"/>
  <c r="F192" i="114"/>
  <c r="F191" i="114"/>
  <c r="F190" i="114"/>
  <c r="F189" i="114"/>
  <c r="F188" i="114"/>
  <c r="F187" i="114"/>
  <c r="E187" i="114"/>
  <c r="F186" i="114"/>
  <c r="E186" i="114"/>
  <c r="F185" i="114"/>
  <c r="E185" i="114"/>
  <c r="F184" i="114"/>
  <c r="E184" i="114"/>
  <c r="F183" i="114"/>
  <c r="E183" i="114"/>
  <c r="F182" i="114"/>
  <c r="E182" i="114"/>
  <c r="F181" i="114"/>
  <c r="E181" i="114"/>
  <c r="F180" i="114"/>
  <c r="E180" i="114"/>
  <c r="F179" i="114"/>
  <c r="E179" i="114"/>
  <c r="F178" i="114"/>
  <c r="E178" i="114"/>
  <c r="F177" i="114"/>
  <c r="E177" i="114"/>
  <c r="F176" i="114"/>
  <c r="F175" i="114"/>
  <c r="F174" i="114"/>
  <c r="F173" i="114"/>
  <c r="F172" i="114"/>
  <c r="F171" i="114"/>
  <c r="F170" i="114"/>
  <c r="F169" i="114"/>
  <c r="F168" i="114"/>
  <c r="F167" i="114"/>
  <c r="F166" i="114"/>
  <c r="F165" i="114"/>
  <c r="F164" i="114"/>
  <c r="F163" i="114"/>
  <c r="F162" i="114"/>
  <c r="F161" i="114"/>
  <c r="E161" i="114"/>
  <c r="F160" i="114"/>
  <c r="E160" i="114"/>
  <c r="F159" i="114"/>
  <c r="E159" i="114"/>
  <c r="F158" i="114"/>
  <c r="E158" i="114"/>
  <c r="F157" i="114"/>
  <c r="E157" i="114"/>
  <c r="F156" i="114"/>
  <c r="E156" i="114"/>
  <c r="F155" i="114"/>
  <c r="E155" i="114"/>
  <c r="F154" i="114"/>
  <c r="E154" i="114"/>
  <c r="F153" i="114"/>
  <c r="E153" i="114"/>
  <c r="F152" i="114"/>
  <c r="E152" i="114"/>
  <c r="F151" i="114"/>
  <c r="E151" i="114"/>
  <c r="F150" i="114"/>
  <c r="E150" i="114"/>
  <c r="F149" i="114"/>
  <c r="E149" i="114"/>
  <c r="F148" i="114"/>
  <c r="E148" i="114"/>
  <c r="F147" i="114"/>
  <c r="E147" i="114"/>
  <c r="F146" i="114"/>
  <c r="F145" i="114"/>
  <c r="F144" i="114"/>
  <c r="F143" i="114"/>
  <c r="F142" i="114"/>
  <c r="F141" i="114"/>
  <c r="F140" i="114"/>
  <c r="F139" i="114"/>
  <c r="F138" i="114"/>
  <c r="F137" i="114"/>
  <c r="F136" i="114"/>
  <c r="F135" i="114"/>
  <c r="F134" i="114"/>
  <c r="F133" i="114"/>
  <c r="F132" i="114"/>
  <c r="F131" i="114"/>
  <c r="F130" i="114"/>
  <c r="F129" i="114"/>
  <c r="F128" i="114"/>
  <c r="F127" i="114"/>
  <c r="F126" i="114"/>
  <c r="F125" i="114"/>
  <c r="F124" i="114"/>
  <c r="F123" i="114"/>
  <c r="F122" i="114"/>
  <c r="F121" i="114"/>
  <c r="F120" i="114"/>
  <c r="F119" i="114"/>
  <c r="F118" i="114"/>
  <c r="F117" i="114"/>
  <c r="F116" i="114"/>
  <c r="F115" i="114"/>
  <c r="F114" i="114"/>
  <c r="F113" i="114"/>
  <c r="F112" i="114"/>
  <c r="F111" i="114"/>
  <c r="F110" i="114"/>
  <c r="F109" i="114"/>
  <c r="F108" i="114"/>
  <c r="F107" i="114"/>
  <c r="F106" i="114"/>
  <c r="E106" i="114"/>
  <c r="F105" i="114"/>
  <c r="E105" i="114"/>
  <c r="F104" i="114"/>
  <c r="E104" i="114"/>
  <c r="F103" i="114"/>
  <c r="E103" i="114"/>
  <c r="F102" i="114"/>
  <c r="E102" i="114"/>
  <c r="F101" i="114"/>
  <c r="E101" i="114"/>
  <c r="F100" i="114"/>
  <c r="E100" i="114"/>
  <c r="F99" i="114"/>
  <c r="E99" i="114"/>
  <c r="F98" i="114"/>
  <c r="E98" i="114"/>
  <c r="F97" i="114"/>
  <c r="E97" i="114"/>
  <c r="F96" i="114"/>
  <c r="E96" i="114"/>
  <c r="F95" i="114"/>
  <c r="E95" i="114"/>
  <c r="F94" i="114"/>
  <c r="E94" i="114"/>
  <c r="F93" i="114"/>
  <c r="E93" i="114"/>
  <c r="F92" i="114"/>
  <c r="E92" i="114"/>
  <c r="F91" i="114"/>
  <c r="E91" i="114"/>
  <c r="F90" i="114"/>
  <c r="F89" i="114"/>
  <c r="E89" i="114"/>
  <c r="F88" i="114"/>
  <c r="E88" i="114"/>
  <c r="F87" i="114"/>
  <c r="E87" i="114"/>
  <c r="F86" i="114"/>
  <c r="E86" i="114"/>
  <c r="F85" i="114"/>
  <c r="E85" i="114"/>
  <c r="F84" i="114"/>
  <c r="E84" i="114"/>
  <c r="F83" i="114"/>
  <c r="E83" i="114"/>
  <c r="F82" i="114"/>
  <c r="E82" i="114"/>
  <c r="F81" i="114"/>
  <c r="E81" i="114"/>
  <c r="F80" i="114"/>
  <c r="E80" i="114"/>
  <c r="F79" i="114"/>
  <c r="E79" i="114"/>
  <c r="F78" i="114"/>
  <c r="E78" i="114"/>
  <c r="F77" i="114"/>
  <c r="E77" i="114"/>
  <c r="F76" i="114"/>
  <c r="E76" i="114"/>
  <c r="F75" i="114"/>
  <c r="E75" i="114"/>
  <c r="F74" i="114"/>
  <c r="E74" i="114"/>
  <c r="F73" i="114"/>
  <c r="E73" i="114"/>
  <c r="F72" i="114"/>
  <c r="E72" i="114"/>
  <c r="F71" i="114"/>
  <c r="E71" i="114"/>
  <c r="F70" i="114"/>
  <c r="E70" i="114"/>
  <c r="F69" i="114"/>
  <c r="E69" i="114"/>
  <c r="F68" i="114"/>
  <c r="E68" i="114"/>
  <c r="F67" i="114"/>
  <c r="E67" i="114"/>
  <c r="F66" i="114"/>
  <c r="E66" i="114"/>
  <c r="F65" i="114"/>
  <c r="E65" i="114"/>
  <c r="F64" i="114"/>
  <c r="E64" i="114"/>
  <c r="F63" i="114"/>
  <c r="E63" i="114"/>
  <c r="F62" i="114"/>
  <c r="E62" i="114"/>
  <c r="F61" i="114"/>
  <c r="E61" i="114"/>
  <c r="F60" i="114"/>
  <c r="E60" i="114"/>
  <c r="F59" i="114"/>
  <c r="E59" i="114"/>
  <c r="F58" i="114"/>
  <c r="E58" i="114"/>
  <c r="F57" i="114"/>
  <c r="E57" i="114"/>
  <c r="F56" i="114"/>
  <c r="E56" i="114"/>
  <c r="F55" i="114"/>
  <c r="E55" i="114"/>
  <c r="F54" i="114"/>
  <c r="E54" i="114"/>
  <c r="F53" i="114"/>
  <c r="E53" i="114"/>
  <c r="F52" i="114"/>
  <c r="E52" i="114"/>
  <c r="F51" i="114"/>
  <c r="E51" i="114"/>
  <c r="F597" i="114"/>
  <c r="F596" i="114"/>
  <c r="F595" i="114"/>
  <c r="F558" i="114"/>
  <c r="F557" i="114"/>
  <c r="F556" i="114"/>
  <c r="F553" i="114"/>
  <c r="F552" i="114"/>
  <c r="F551" i="114"/>
  <c r="F550" i="114"/>
  <c r="F549" i="114"/>
  <c r="F548" i="114"/>
  <c r="F547" i="114"/>
  <c r="F546" i="114"/>
  <c r="F545" i="114"/>
  <c r="F544" i="114"/>
  <c r="F543" i="114"/>
  <c r="F542" i="114"/>
  <c r="F541" i="114"/>
  <c r="F540" i="114"/>
  <c r="F539" i="114"/>
  <c r="F538" i="114"/>
  <c r="F537" i="114"/>
  <c r="F536" i="114"/>
  <c r="F535" i="114"/>
  <c r="F534" i="114"/>
  <c r="F533" i="114"/>
  <c r="F532" i="114"/>
  <c r="F531" i="114"/>
  <c r="F530" i="114"/>
  <c r="E530" i="114"/>
  <c r="F529" i="114"/>
  <c r="E529" i="114"/>
  <c r="F528" i="114"/>
  <c r="E528" i="114"/>
  <c r="F527" i="114"/>
  <c r="E527" i="114"/>
  <c r="F526" i="114"/>
  <c r="E526" i="114"/>
  <c r="F50" i="114"/>
  <c r="F49" i="114"/>
  <c r="F48" i="114"/>
  <c r="F47" i="114"/>
  <c r="F46" i="114"/>
  <c r="F45" i="114"/>
  <c r="F44" i="114"/>
  <c r="F43" i="114"/>
  <c r="F42" i="114"/>
  <c r="F41" i="114"/>
  <c r="F40" i="114"/>
  <c r="F39" i="114"/>
  <c r="F38" i="114"/>
  <c r="F37" i="114"/>
  <c r="F36" i="114"/>
  <c r="F35" i="114"/>
  <c r="F34" i="114"/>
  <c r="F33" i="114"/>
  <c r="F32" i="114"/>
  <c r="F31" i="114"/>
  <c r="F30" i="114"/>
  <c r="F29" i="114"/>
  <c r="F28" i="114"/>
  <c r="F27" i="114"/>
  <c r="F26" i="114"/>
  <c r="F25" i="114"/>
  <c r="F24" i="114"/>
  <c r="F23" i="114"/>
  <c r="F22" i="114"/>
  <c r="F21" i="114"/>
  <c r="F20" i="114"/>
  <c r="F19" i="114"/>
  <c r="F18" i="114"/>
  <c r="F17" i="114"/>
  <c r="F16" i="114"/>
  <c r="F15" i="114"/>
  <c r="F14" i="114"/>
  <c r="F13" i="114" l="1"/>
  <c r="F12" i="114"/>
  <c r="F11" i="114"/>
  <c r="F10" i="114"/>
  <c r="F9" i="114"/>
  <c r="F8" i="114"/>
  <c r="F7" i="114"/>
  <c r="F6" i="114"/>
  <c r="F5" i="114"/>
  <c r="F4" i="114"/>
  <c r="F3" i="114"/>
  <c r="F2" i="114"/>
  <c r="E597" i="114" l="1"/>
  <c r="E596" i="114"/>
  <c r="E595" i="114"/>
  <c r="E594" i="114"/>
  <c r="E593" i="114"/>
  <c r="E592" i="114"/>
  <c r="E591" i="114"/>
  <c r="E590" i="114"/>
  <c r="E589" i="114"/>
  <c r="E588" i="114"/>
  <c r="E587" i="114"/>
  <c r="E586" i="114"/>
  <c r="E585" i="114"/>
  <c r="E584" i="114"/>
  <c r="E583" i="114"/>
  <c r="E582" i="114"/>
  <c r="E581" i="114"/>
  <c r="E559" i="114"/>
  <c r="E558" i="114"/>
  <c r="E557" i="114"/>
  <c r="E556" i="114"/>
  <c r="E554" i="114"/>
  <c r="E553" i="114"/>
  <c r="E552" i="114"/>
  <c r="E551" i="114"/>
  <c r="E550" i="114"/>
  <c r="E549" i="114"/>
  <c r="E548" i="114"/>
  <c r="E547" i="114"/>
  <c r="E546" i="114"/>
  <c r="E545" i="114"/>
  <c r="E544" i="114"/>
  <c r="E543" i="114"/>
  <c r="E542" i="114"/>
  <c r="E541" i="114"/>
  <c r="E540" i="114"/>
  <c r="E539" i="114"/>
  <c r="E538" i="114"/>
  <c r="E537" i="114"/>
  <c r="E536" i="114"/>
  <c r="E535" i="114"/>
  <c r="E534" i="114"/>
  <c r="E533" i="114"/>
  <c r="E532" i="114"/>
  <c r="E531" i="114"/>
  <c r="E525" i="114"/>
  <c r="E524" i="114"/>
  <c r="E523" i="114"/>
  <c r="E522" i="114"/>
  <c r="E521" i="114"/>
  <c r="E520" i="114"/>
  <c r="E519" i="114"/>
  <c r="E518" i="114"/>
  <c r="E517" i="114"/>
  <c r="E516" i="114"/>
  <c r="E515" i="114"/>
  <c r="E514" i="114"/>
  <c r="E513" i="114"/>
  <c r="E512" i="114"/>
  <c r="E511" i="114"/>
  <c r="E510" i="114"/>
  <c r="E509" i="114"/>
  <c r="E508" i="114"/>
  <c r="E507" i="114"/>
  <c r="E506" i="114"/>
  <c r="E505" i="114"/>
  <c r="E504" i="114"/>
  <c r="E503" i="114"/>
  <c r="E502" i="114"/>
  <c r="E501" i="114"/>
  <c r="E500" i="114"/>
  <c r="E499" i="114"/>
  <c r="E498" i="114"/>
  <c r="E497" i="114"/>
  <c r="E496" i="114"/>
  <c r="E495" i="114"/>
  <c r="E494" i="114"/>
  <c r="E493" i="114"/>
  <c r="E492" i="114"/>
  <c r="E491" i="114"/>
  <c r="E490" i="114"/>
  <c r="E489" i="114"/>
  <c r="E488" i="114"/>
  <c r="E487" i="114"/>
  <c r="E486" i="114"/>
  <c r="E485" i="114"/>
  <c r="E484" i="114"/>
  <c r="E483" i="114"/>
  <c r="E482" i="114"/>
  <c r="E481" i="114"/>
  <c r="E480" i="114"/>
  <c r="E479" i="114"/>
  <c r="E478" i="114"/>
  <c r="E477" i="114"/>
  <c r="E476" i="114"/>
  <c r="E475" i="114"/>
  <c r="E474" i="114"/>
  <c r="E473" i="114"/>
  <c r="E472" i="114"/>
  <c r="E471" i="114"/>
  <c r="E470" i="114"/>
  <c r="E469" i="114"/>
  <c r="E468" i="114"/>
  <c r="E467" i="114"/>
  <c r="E466" i="114"/>
  <c r="E465" i="114"/>
  <c r="E464" i="114"/>
  <c r="E463" i="114"/>
  <c r="E462" i="114"/>
  <c r="E461" i="114"/>
  <c r="E460" i="114"/>
  <c r="E459" i="114"/>
  <c r="E458" i="114"/>
  <c r="E457" i="114"/>
  <c r="E456" i="114"/>
  <c r="E455" i="114"/>
  <c r="E454" i="114"/>
  <c r="E453" i="114"/>
  <c r="E452" i="114"/>
  <c r="E451" i="114"/>
  <c r="E450" i="114"/>
  <c r="E449" i="114"/>
  <c r="E448" i="114"/>
  <c r="E447" i="114"/>
  <c r="E446" i="114"/>
  <c r="E445" i="114"/>
  <c r="E444" i="114"/>
  <c r="E443" i="114"/>
  <c r="E442" i="114"/>
  <c r="E441" i="114"/>
  <c r="E440" i="114"/>
  <c r="E439" i="114"/>
  <c r="E438" i="114"/>
  <c r="E437" i="114"/>
  <c r="E436" i="114"/>
  <c r="E435" i="114"/>
  <c r="E434" i="114"/>
  <c r="E433" i="114"/>
  <c r="E432" i="114"/>
  <c r="E431" i="114"/>
  <c r="E430" i="114"/>
  <c r="E429" i="114"/>
  <c r="E428" i="114"/>
  <c r="E427" i="114"/>
  <c r="E426" i="114"/>
  <c r="E425" i="114"/>
  <c r="E424" i="114"/>
  <c r="E423" i="114"/>
  <c r="E422" i="114"/>
  <c r="E421" i="114"/>
  <c r="E420" i="114"/>
  <c r="E419" i="114"/>
  <c r="E418" i="114"/>
  <c r="E417" i="114"/>
  <c r="E416" i="114"/>
  <c r="E415" i="114"/>
  <c r="E414" i="114"/>
  <c r="E413" i="114"/>
  <c r="E412" i="114"/>
  <c r="E411" i="114"/>
  <c r="E410" i="114"/>
  <c r="E409" i="114"/>
  <c r="E408" i="114"/>
  <c r="E407" i="114"/>
  <c r="E406" i="114"/>
  <c r="E405" i="114"/>
  <c r="E404" i="114"/>
  <c r="E403" i="114"/>
  <c r="E402" i="114"/>
  <c r="E401" i="114"/>
  <c r="E400" i="114"/>
  <c r="E399" i="114"/>
  <c r="E398" i="114"/>
  <c r="E397" i="114"/>
  <c r="E396" i="114"/>
  <c r="E395" i="114"/>
  <c r="E394" i="114"/>
  <c r="E393" i="114"/>
  <c r="E392" i="114"/>
  <c r="E391" i="114"/>
  <c r="E390" i="114"/>
  <c r="E389" i="114"/>
  <c r="E388" i="114"/>
  <c r="E387" i="114"/>
  <c r="E355" i="114"/>
  <c r="E354" i="114"/>
  <c r="E353" i="114"/>
  <c r="E352" i="114"/>
  <c r="E351" i="114"/>
  <c r="E350" i="114"/>
  <c r="E349" i="114"/>
  <c r="E348" i="114"/>
  <c r="E347" i="114"/>
  <c r="E346" i="114"/>
  <c r="E345" i="114"/>
  <c r="E344" i="114"/>
  <c r="E343" i="114"/>
  <c r="E342" i="114"/>
  <c r="E341" i="114"/>
  <c r="E340" i="114"/>
  <c r="E339" i="114"/>
  <c r="E338" i="114"/>
  <c r="E337" i="114"/>
  <c r="E336" i="114"/>
  <c r="E335" i="114"/>
  <c r="E334" i="114"/>
  <c r="E333" i="114"/>
  <c r="E332" i="114"/>
  <c r="E331" i="114"/>
  <c r="E330" i="114"/>
  <c r="E329" i="114"/>
  <c r="E328" i="114"/>
  <c r="E327" i="114"/>
  <c r="E326" i="114"/>
  <c r="E325" i="114"/>
  <c r="E324" i="114"/>
  <c r="E323" i="114"/>
  <c r="E322" i="114"/>
  <c r="E321" i="114"/>
  <c r="E320" i="114"/>
  <c r="E319" i="114"/>
  <c r="E318" i="114"/>
  <c r="E317" i="114"/>
  <c r="E316" i="114"/>
  <c r="E315" i="114"/>
  <c r="E314" i="114"/>
  <c r="E313" i="114"/>
  <c r="E312" i="114"/>
  <c r="E310" i="114"/>
  <c r="E309" i="114"/>
  <c r="E308" i="114"/>
  <c r="E307" i="114"/>
  <c r="E306" i="114"/>
  <c r="E305" i="114"/>
  <c r="E304" i="114"/>
  <c r="E303" i="114"/>
  <c r="E302" i="114"/>
  <c r="E301" i="114"/>
  <c r="E300" i="114"/>
  <c r="E299" i="114"/>
  <c r="E298" i="114"/>
  <c r="E297" i="114"/>
  <c r="E296" i="114"/>
  <c r="E295" i="114"/>
  <c r="E294" i="114"/>
  <c r="E293" i="114"/>
  <c r="E292" i="114"/>
  <c r="E291" i="114"/>
  <c r="E290" i="114"/>
  <c r="E289" i="114"/>
  <c r="E288" i="114"/>
  <c r="E287" i="114"/>
  <c r="E286" i="114"/>
  <c r="E285" i="114"/>
  <c r="E284" i="114"/>
  <c r="E283" i="114"/>
  <c r="E282" i="114"/>
  <c r="E281" i="114"/>
  <c r="E280" i="114"/>
  <c r="E279" i="114"/>
  <c r="E278" i="114"/>
  <c r="E277" i="114"/>
  <c r="E276" i="114"/>
  <c r="E275" i="114"/>
  <c r="E274" i="114"/>
  <c r="E273" i="114"/>
  <c r="E272" i="114"/>
  <c r="E271" i="114"/>
  <c r="E270" i="114"/>
  <c r="E269" i="114"/>
  <c r="E268" i="114"/>
  <c r="E267" i="114"/>
  <c r="E266" i="114"/>
  <c r="E265" i="114"/>
  <c r="E264" i="114"/>
  <c r="E263" i="114"/>
  <c r="E262" i="114"/>
  <c r="E261" i="114"/>
  <c r="E260" i="114"/>
  <c r="E259" i="114"/>
  <c r="E258" i="114"/>
  <c r="E257" i="114"/>
  <c r="E256" i="114"/>
  <c r="E255" i="114"/>
  <c r="E254" i="114"/>
  <c r="E253" i="114"/>
  <c r="E252" i="114"/>
  <c r="E251" i="114"/>
  <c r="E250" i="114"/>
  <c r="E249" i="114"/>
  <c r="E248" i="114"/>
  <c r="E247" i="114"/>
  <c r="E246" i="114"/>
  <c r="E233" i="114"/>
  <c r="E232" i="114"/>
  <c r="E231" i="114"/>
  <c r="E230" i="114"/>
  <c r="E229" i="114"/>
  <c r="E228" i="114"/>
  <c r="E227" i="114"/>
  <c r="E226" i="114"/>
  <c r="E225" i="114"/>
  <c r="E224" i="114"/>
  <c r="E223" i="114"/>
  <c r="E222" i="114"/>
  <c r="E221" i="114"/>
  <c r="E220" i="114"/>
  <c r="E219" i="114"/>
  <c r="E195" i="114"/>
  <c r="E194" i="114"/>
  <c r="E193" i="114"/>
  <c r="E192" i="114"/>
  <c r="E191" i="114"/>
  <c r="E190" i="114"/>
  <c r="E189" i="114"/>
  <c r="E188" i="114"/>
  <c r="E176" i="114"/>
  <c r="E175" i="114"/>
  <c r="E174" i="114"/>
  <c r="E173" i="114"/>
  <c r="E172" i="114"/>
  <c r="E171" i="114"/>
  <c r="E170" i="114"/>
  <c r="E169" i="114"/>
  <c r="E168" i="114"/>
  <c r="E167" i="114"/>
  <c r="E166" i="114"/>
  <c r="E165" i="114"/>
  <c r="E164" i="114"/>
  <c r="E163" i="114"/>
  <c r="E162" i="114"/>
  <c r="E146" i="114"/>
  <c r="E145" i="114"/>
  <c r="E144" i="114"/>
  <c r="E143" i="114"/>
  <c r="E142" i="114"/>
  <c r="E141" i="114"/>
  <c r="E140" i="114"/>
  <c r="E139" i="114"/>
  <c r="E138" i="114"/>
  <c r="E137" i="114"/>
  <c r="E136" i="114"/>
  <c r="E135" i="114"/>
  <c r="E134" i="114"/>
  <c r="E133" i="114"/>
  <c r="E132" i="114"/>
  <c r="E131" i="114"/>
  <c r="E130" i="114"/>
  <c r="E129" i="114"/>
  <c r="E128" i="114"/>
  <c r="E127" i="114"/>
  <c r="E126" i="114"/>
  <c r="E125" i="114"/>
  <c r="E124" i="114"/>
  <c r="E123" i="114"/>
  <c r="E122" i="114"/>
  <c r="E121" i="114"/>
  <c r="E120" i="114"/>
  <c r="E119" i="114"/>
  <c r="E118" i="114"/>
  <c r="E117" i="114"/>
  <c r="E116" i="114"/>
  <c r="E115" i="114"/>
  <c r="E114" i="114"/>
  <c r="E113" i="114"/>
  <c r="E112" i="114"/>
  <c r="E111" i="114"/>
  <c r="E110" i="114"/>
  <c r="E109" i="114"/>
  <c r="E108" i="114"/>
  <c r="E107" i="114"/>
  <c r="E50" i="114"/>
  <c r="E49" i="114"/>
  <c r="E48" i="114"/>
  <c r="E47" i="114"/>
  <c r="E46" i="114"/>
  <c r="E45" i="114"/>
  <c r="E44" i="114"/>
  <c r="E43" i="114"/>
  <c r="E42" i="114"/>
  <c r="E41" i="114"/>
  <c r="E40" i="114"/>
  <c r="E39" i="114"/>
  <c r="E38" i="114"/>
  <c r="E37" i="114"/>
  <c r="E36" i="114"/>
  <c r="E35" i="114"/>
  <c r="E34" i="114"/>
  <c r="E33" i="114"/>
  <c r="E32" i="114"/>
  <c r="E31" i="114"/>
  <c r="E30" i="114"/>
  <c r="E29" i="114"/>
  <c r="E28" i="114"/>
  <c r="E27" i="114"/>
  <c r="E26" i="114"/>
  <c r="E25" i="114"/>
  <c r="E24" i="114"/>
  <c r="E23" i="114"/>
  <c r="E22" i="114"/>
  <c r="E21" i="114"/>
  <c r="E20" i="114"/>
  <c r="E19" i="114"/>
  <c r="E18" i="114"/>
  <c r="E17" i="114"/>
  <c r="E16" i="114"/>
  <c r="E15" i="114"/>
  <c r="E14" i="114"/>
  <c r="F69" i="13" l="1"/>
  <c r="G69" i="13"/>
  <c r="G39" i="21" l="1"/>
  <c r="F39" i="21"/>
  <c r="G38" i="21"/>
  <c r="F38" i="21"/>
  <c r="G37" i="21"/>
  <c r="F37" i="21"/>
  <c r="G36" i="21"/>
  <c r="F36" i="21"/>
  <c r="G35" i="21"/>
  <c r="F35" i="21"/>
  <c r="G34" i="21"/>
  <c r="F34" i="21"/>
  <c r="G33" i="21"/>
  <c r="F33" i="21"/>
  <c r="G32" i="21"/>
  <c r="F32" i="21"/>
  <c r="G31" i="21"/>
  <c r="F31" i="21"/>
  <c r="G30" i="21"/>
  <c r="F30" i="21"/>
  <c r="G29" i="21"/>
  <c r="F29" i="21"/>
  <c r="G28" i="21"/>
  <c r="F28" i="21"/>
  <c r="G27" i="21"/>
  <c r="F27" i="21"/>
  <c r="G26" i="21"/>
  <c r="F26" i="21"/>
  <c r="G25" i="21"/>
  <c r="F25" i="21"/>
  <c r="G24" i="21"/>
  <c r="F24" i="21"/>
  <c r="G23" i="21"/>
  <c r="F23" i="21"/>
  <c r="G22" i="21"/>
  <c r="F22" i="21"/>
  <c r="G21" i="21"/>
  <c r="F21" i="21"/>
  <c r="G20" i="21"/>
  <c r="F20" i="21"/>
  <c r="G19" i="21"/>
  <c r="F19" i="21"/>
  <c r="G18" i="21"/>
  <c r="F18" i="21"/>
  <c r="G17" i="21"/>
  <c r="F17" i="21"/>
  <c r="G16" i="21"/>
  <c r="F16" i="21"/>
  <c r="G15" i="21"/>
  <c r="F15" i="21"/>
  <c r="G14" i="21"/>
  <c r="F14" i="21"/>
  <c r="G13" i="21"/>
  <c r="F13" i="21"/>
  <c r="G12" i="21"/>
  <c r="F12" i="21"/>
  <c r="G11" i="21"/>
  <c r="F11" i="21"/>
  <c r="G10" i="21"/>
  <c r="F10" i="21"/>
  <c r="G9" i="21"/>
  <c r="F9" i="21"/>
  <c r="G8" i="21"/>
  <c r="F8" i="21"/>
  <c r="G7" i="21"/>
  <c r="F7" i="21"/>
  <c r="G6" i="21"/>
  <c r="F6" i="21"/>
  <c r="G29" i="16"/>
  <c r="F29" i="16"/>
  <c r="G28" i="16"/>
  <c r="F28" i="16"/>
  <c r="G27" i="16"/>
  <c r="F27" i="16"/>
  <c r="G26" i="16"/>
  <c r="F26" i="16"/>
  <c r="G25" i="16"/>
  <c r="F25" i="16"/>
  <c r="G24" i="16"/>
  <c r="F24" i="16"/>
  <c r="G23" i="16"/>
  <c r="F23" i="16"/>
  <c r="G22" i="16"/>
  <c r="F22" i="16"/>
  <c r="G21" i="16"/>
  <c r="F21" i="16"/>
  <c r="G20" i="16"/>
  <c r="F20" i="16"/>
  <c r="G19" i="16"/>
  <c r="F19" i="16"/>
  <c r="G18" i="16"/>
  <c r="F18" i="16"/>
  <c r="G17" i="16"/>
  <c r="F17" i="16"/>
  <c r="G16" i="16"/>
  <c r="F16" i="16"/>
  <c r="G15" i="16"/>
  <c r="F15" i="16"/>
  <c r="G14" i="16"/>
  <c r="F14" i="16"/>
  <c r="G13" i="16"/>
  <c r="F13" i="16"/>
  <c r="G12" i="16"/>
  <c r="F12" i="16"/>
  <c r="G11" i="16"/>
  <c r="F11" i="16"/>
  <c r="G10" i="16"/>
  <c r="F10" i="16"/>
  <c r="G9" i="16"/>
  <c r="F9" i="16"/>
  <c r="G8" i="16"/>
  <c r="F8" i="16"/>
  <c r="G7" i="16"/>
  <c r="F7" i="16"/>
  <c r="G6" i="16"/>
  <c r="F6" i="16"/>
  <c r="G68" i="14"/>
  <c r="F68" i="14"/>
  <c r="G67" i="14"/>
  <c r="F67" i="14"/>
  <c r="G66" i="14"/>
  <c r="F66" i="14"/>
  <c r="G65" i="14"/>
  <c r="F65" i="14"/>
  <c r="G64" i="14"/>
  <c r="F64" i="14"/>
  <c r="G63" i="14"/>
  <c r="F63" i="14"/>
  <c r="G62" i="14"/>
  <c r="F62" i="14"/>
  <c r="G61" i="14"/>
  <c r="F61" i="14"/>
  <c r="G60" i="14"/>
  <c r="F60" i="14"/>
  <c r="G59" i="14"/>
  <c r="F59" i="14"/>
  <c r="G58" i="14"/>
  <c r="F58" i="14"/>
  <c r="G51" i="14"/>
  <c r="F51" i="14"/>
  <c r="G50" i="14"/>
  <c r="F50" i="14"/>
  <c r="G49" i="14"/>
  <c r="F49" i="14"/>
  <c r="G48" i="14"/>
  <c r="F48" i="14"/>
  <c r="G47" i="14"/>
  <c r="F47" i="14"/>
  <c r="G46" i="14"/>
  <c r="F46" i="14"/>
  <c r="G45" i="14"/>
  <c r="F45" i="14"/>
  <c r="G44" i="14"/>
  <c r="F44" i="14"/>
  <c r="G43" i="14"/>
  <c r="F43" i="14"/>
  <c r="G42" i="14"/>
  <c r="F42" i="14"/>
  <c r="G41" i="14"/>
  <c r="F41" i="14"/>
  <c r="G40" i="14"/>
  <c r="F40" i="14"/>
  <c r="G33" i="14"/>
  <c r="F33" i="14"/>
  <c r="G32" i="14"/>
  <c r="F32" i="14"/>
  <c r="G31" i="14"/>
  <c r="F31" i="14"/>
  <c r="G30" i="14"/>
  <c r="F30" i="14"/>
  <c r="G29" i="14"/>
  <c r="F29" i="14"/>
  <c r="G28" i="14"/>
  <c r="F28" i="14"/>
  <c r="G27" i="14"/>
  <c r="F27" i="14"/>
  <c r="G26" i="14"/>
  <c r="F26" i="14"/>
  <c r="G25" i="14"/>
  <c r="F25" i="14"/>
  <c r="G24" i="14"/>
  <c r="F24" i="14"/>
  <c r="G23" i="14"/>
  <c r="F23" i="14"/>
  <c r="G22" i="14"/>
  <c r="F22" i="14"/>
  <c r="G21" i="14"/>
  <c r="F21" i="14"/>
  <c r="G20" i="14"/>
  <c r="F20" i="14"/>
  <c r="G19" i="14"/>
  <c r="F19" i="14"/>
  <c r="G18" i="14"/>
  <c r="F18" i="14"/>
  <c r="G17" i="14"/>
  <c r="F17" i="14"/>
  <c r="G16" i="14"/>
  <c r="F16" i="14"/>
  <c r="G15" i="14"/>
  <c r="F15" i="14"/>
  <c r="G14" i="14"/>
  <c r="F14" i="14"/>
  <c r="G13" i="14"/>
  <c r="F13" i="14"/>
  <c r="G12" i="14"/>
  <c r="F12" i="14"/>
  <c r="G11" i="14"/>
  <c r="F11" i="14"/>
  <c r="G10" i="14"/>
  <c r="F10" i="14"/>
  <c r="G9" i="14"/>
  <c r="F9" i="14"/>
  <c r="G8" i="14"/>
  <c r="F8" i="14"/>
  <c r="G7" i="14"/>
  <c r="F7" i="14"/>
  <c r="G6" i="14"/>
  <c r="F6" i="14"/>
  <c r="G76" i="13"/>
  <c r="F76" i="13"/>
  <c r="G75" i="13"/>
  <c r="F75" i="13"/>
  <c r="G74" i="13"/>
  <c r="F74" i="13"/>
  <c r="G73" i="13"/>
  <c r="F73" i="13"/>
  <c r="G72" i="13"/>
  <c r="F72" i="13"/>
  <c r="G71" i="13"/>
  <c r="F71" i="13"/>
  <c r="G70" i="13"/>
  <c r="F70" i="13"/>
  <c r="G68" i="13"/>
  <c r="F68" i="13"/>
  <c r="G67" i="13"/>
  <c r="F67" i="13"/>
  <c r="G60" i="13"/>
  <c r="F60" i="13"/>
  <c r="G59" i="13"/>
  <c r="F59" i="13"/>
  <c r="G58" i="13"/>
  <c r="F58" i="13"/>
  <c r="G57" i="13"/>
  <c r="F57" i="13"/>
  <c r="G56" i="13"/>
  <c r="F56" i="13"/>
  <c r="G55" i="13"/>
  <c r="F55" i="13"/>
  <c r="G54" i="13"/>
  <c r="F54" i="13"/>
  <c r="G53" i="13"/>
  <c r="F53" i="13"/>
  <c r="G52" i="13"/>
  <c r="F52" i="13"/>
  <c r="G51" i="13"/>
  <c r="F51" i="13"/>
  <c r="G50" i="13"/>
  <c r="F50" i="13"/>
  <c r="G49" i="13"/>
  <c r="F49" i="13"/>
  <c r="G48" i="13"/>
  <c r="F48" i="13"/>
  <c r="G47" i="13"/>
  <c r="F47" i="13"/>
  <c r="G46" i="13"/>
  <c r="F46" i="13"/>
  <c r="G45" i="13"/>
  <c r="F45" i="13"/>
  <c r="G44" i="13"/>
  <c r="F44" i="13"/>
  <c r="G43" i="13"/>
  <c r="F43" i="13"/>
  <c r="G42" i="13"/>
  <c r="F42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4" i="13"/>
  <c r="F24" i="13"/>
  <c r="G23" i="13"/>
  <c r="F23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5" i="13"/>
  <c r="F15" i="13"/>
  <c r="G14" i="13"/>
  <c r="F14" i="13"/>
  <c r="G13" i="13"/>
  <c r="F13" i="13"/>
  <c r="G12" i="13"/>
  <c r="F12" i="13"/>
  <c r="G11" i="13"/>
  <c r="F11" i="13"/>
  <c r="G10" i="13"/>
  <c r="F10" i="13"/>
  <c r="G9" i="13"/>
  <c r="F9" i="13"/>
  <c r="G8" i="13"/>
  <c r="F8" i="13"/>
  <c r="G7" i="13"/>
  <c r="F7" i="13"/>
  <c r="G6" i="13"/>
  <c r="F6" i="13"/>
  <c r="G74" i="12"/>
  <c r="F74" i="12"/>
  <c r="G73" i="12"/>
  <c r="F73" i="12"/>
  <c r="G72" i="12"/>
  <c r="F72" i="12"/>
  <c r="G71" i="12"/>
  <c r="F71" i="12"/>
  <c r="G70" i="12"/>
  <c r="F70" i="12"/>
  <c r="G69" i="12"/>
  <c r="F69" i="12"/>
  <c r="G68" i="12"/>
  <c r="F68" i="12"/>
  <c r="G67" i="12"/>
  <c r="F67" i="12"/>
  <c r="G66" i="12"/>
  <c r="F66" i="12"/>
  <c r="G65" i="12"/>
  <c r="F65" i="12"/>
  <c r="G64" i="12"/>
  <c r="F64" i="12"/>
  <c r="G63" i="12"/>
  <c r="F63" i="12"/>
  <c r="G62" i="12"/>
  <c r="F62" i="12"/>
  <c r="G61" i="12"/>
  <c r="F61" i="12"/>
  <c r="G60" i="12"/>
  <c r="F60" i="12"/>
  <c r="G59" i="12"/>
  <c r="F59" i="12"/>
  <c r="G58" i="12"/>
  <c r="F58" i="12"/>
  <c r="G57" i="12"/>
  <c r="F57" i="12"/>
  <c r="G56" i="12"/>
  <c r="F56" i="12"/>
  <c r="G55" i="12"/>
  <c r="F55" i="12"/>
  <c r="G54" i="12"/>
  <c r="F54" i="12"/>
  <c r="G53" i="12"/>
  <c r="F53" i="12"/>
  <c r="G52" i="12"/>
  <c r="F52" i="12"/>
  <c r="G51" i="12"/>
  <c r="F51" i="12"/>
  <c r="G50" i="12"/>
  <c r="F50" i="12"/>
  <c r="G49" i="12"/>
  <c r="F49" i="12"/>
  <c r="G48" i="12"/>
  <c r="F48" i="12"/>
  <c r="G47" i="12"/>
  <c r="F47" i="12"/>
  <c r="G46" i="12"/>
  <c r="F46" i="12"/>
  <c r="G45" i="12"/>
  <c r="F45" i="12"/>
  <c r="G38" i="12"/>
  <c r="F38" i="12"/>
  <c r="G37" i="12"/>
  <c r="F37" i="12"/>
  <c r="G36" i="12"/>
  <c r="F36" i="12"/>
  <c r="G35" i="12"/>
  <c r="F35" i="12"/>
  <c r="G34" i="12"/>
  <c r="F34" i="12"/>
  <c r="G33" i="12"/>
  <c r="F33" i="12"/>
  <c r="G32" i="12"/>
  <c r="F32" i="12"/>
  <c r="G31" i="12"/>
  <c r="F31" i="12"/>
  <c r="G30" i="12"/>
  <c r="F30" i="12"/>
  <c r="G29" i="12"/>
  <c r="F29" i="12"/>
  <c r="G28" i="12"/>
  <c r="F28" i="12"/>
  <c r="G27" i="12"/>
  <c r="F27" i="12"/>
  <c r="G26" i="12"/>
  <c r="F26" i="12"/>
  <c r="G25" i="12"/>
  <c r="F25" i="12"/>
  <c r="G24" i="12"/>
  <c r="F24" i="12"/>
  <c r="G23" i="12"/>
  <c r="F23" i="12"/>
  <c r="G22" i="12"/>
  <c r="F22" i="12"/>
  <c r="G21" i="12"/>
  <c r="F21" i="12"/>
  <c r="G20" i="12"/>
  <c r="F20" i="12"/>
  <c r="G19" i="12"/>
  <c r="F19" i="12"/>
  <c r="G18" i="12"/>
  <c r="F18" i="12"/>
  <c r="G17" i="12"/>
  <c r="F17" i="12"/>
  <c r="G16" i="12"/>
  <c r="F16" i="12"/>
  <c r="G15" i="12"/>
  <c r="F15" i="12"/>
  <c r="G14" i="12"/>
  <c r="F14" i="12"/>
  <c r="G13" i="12"/>
  <c r="F13" i="12"/>
  <c r="G12" i="12"/>
  <c r="G11" i="12"/>
  <c r="F11" i="12"/>
  <c r="G10" i="12"/>
  <c r="F10" i="12"/>
  <c r="G9" i="12"/>
  <c r="F9" i="12"/>
  <c r="G8" i="12"/>
  <c r="F8" i="12"/>
  <c r="G7" i="12"/>
  <c r="F7" i="12"/>
  <c r="G6" i="12"/>
  <c r="F6" i="12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61" i="24"/>
  <c r="F61" i="24"/>
  <c r="G60" i="24"/>
  <c r="F60" i="24"/>
  <c r="G59" i="24"/>
  <c r="F59" i="24"/>
  <c r="G58" i="24"/>
  <c r="F58" i="24"/>
  <c r="G57" i="24"/>
  <c r="F57" i="24"/>
  <c r="G56" i="24"/>
  <c r="F56" i="24"/>
  <c r="G55" i="24"/>
  <c r="F55" i="24"/>
  <c r="G54" i="24"/>
  <c r="F54" i="24"/>
  <c r="G53" i="24"/>
  <c r="F53" i="24"/>
  <c r="G52" i="24"/>
  <c r="F52" i="24"/>
  <c r="G51" i="24"/>
  <c r="F51" i="24"/>
  <c r="G50" i="24"/>
  <c r="F50" i="24"/>
  <c r="G49" i="24"/>
  <c r="F49" i="24"/>
  <c r="G48" i="24"/>
  <c r="F48" i="24"/>
  <c r="G47" i="24"/>
  <c r="F47" i="24"/>
  <c r="G46" i="24"/>
  <c r="F46" i="24"/>
  <c r="G45" i="24"/>
  <c r="F45" i="24"/>
  <c r="G44" i="24"/>
  <c r="F44" i="24"/>
  <c r="G43" i="24"/>
  <c r="F43" i="24"/>
  <c r="G42" i="24"/>
  <c r="F42" i="24"/>
  <c r="G41" i="24"/>
  <c r="F41" i="24"/>
  <c r="G40" i="24"/>
  <c r="F40" i="24"/>
  <c r="G39" i="24"/>
  <c r="F39" i="24"/>
  <c r="G38" i="24"/>
  <c r="F38" i="24"/>
  <c r="G37" i="24"/>
  <c r="F37" i="24"/>
  <c r="G36" i="24"/>
  <c r="F36" i="24"/>
  <c r="G35" i="24"/>
  <c r="F35" i="24"/>
  <c r="G34" i="24"/>
  <c r="F34" i="24"/>
  <c r="G33" i="24"/>
  <c r="F33" i="24"/>
  <c r="G32" i="24"/>
  <c r="F32" i="24"/>
  <c r="G31" i="24"/>
  <c r="F31" i="24"/>
  <c r="G30" i="24"/>
  <c r="F30" i="24"/>
  <c r="G29" i="24"/>
  <c r="F29" i="24"/>
  <c r="G28" i="24"/>
  <c r="F28" i="24"/>
  <c r="G27" i="24"/>
  <c r="F27" i="24"/>
  <c r="G26" i="24"/>
  <c r="F26" i="24"/>
  <c r="G25" i="24"/>
  <c r="F25" i="24"/>
  <c r="F62" i="20" l="1"/>
  <c r="F44" i="20"/>
  <c r="F6" i="19"/>
  <c r="F37" i="20"/>
  <c r="G53" i="17" l="1"/>
  <c r="F53" i="17"/>
  <c r="F6" i="17" l="1"/>
  <c r="G6" i="22" l="1"/>
  <c r="F6" i="22"/>
  <c r="F56" i="20"/>
  <c r="F18" i="20"/>
  <c r="G54" i="17" l="1"/>
  <c r="F54" i="17"/>
  <c r="G34" i="17" l="1"/>
  <c r="F34" i="17"/>
  <c r="G55" i="17" l="1"/>
  <c r="F55" i="17"/>
  <c r="F22" i="18" l="1"/>
  <c r="F6" i="18"/>
  <c r="G6" i="20" l="1"/>
  <c r="F6" i="20"/>
  <c r="F37" i="18"/>
  <c r="G37" i="18"/>
  <c r="F10" i="20"/>
  <c r="G10" i="20"/>
  <c r="G67" i="18"/>
  <c r="F67" i="18"/>
  <c r="F60" i="20"/>
  <c r="F59" i="20"/>
  <c r="F66" i="20"/>
  <c r="F65" i="20"/>
  <c r="F39" i="18"/>
  <c r="G39" i="18"/>
  <c r="F8" i="20"/>
  <c r="G8" i="20"/>
  <c r="F9" i="20"/>
  <c r="G9" i="20"/>
  <c r="F11" i="20"/>
  <c r="G18" i="20"/>
  <c r="F19" i="20"/>
  <c r="G19" i="20"/>
  <c r="F20" i="20"/>
  <c r="G20" i="20"/>
  <c r="F21" i="20"/>
  <c r="G21" i="20"/>
  <c r="F22" i="20"/>
  <c r="G22" i="20"/>
  <c r="F23" i="20"/>
  <c r="G23" i="20"/>
  <c r="F24" i="20"/>
  <c r="G24" i="20"/>
  <c r="F25" i="20"/>
  <c r="G25" i="20"/>
  <c r="F26" i="20"/>
  <c r="G26" i="20"/>
  <c r="F27" i="20"/>
  <c r="G27" i="20"/>
  <c r="F28" i="20"/>
  <c r="G28" i="20"/>
  <c r="F38" i="20"/>
  <c r="F39" i="20"/>
  <c r="F40" i="20"/>
  <c r="F41" i="20"/>
  <c r="F45" i="20"/>
  <c r="F46" i="20"/>
  <c r="F47" i="20"/>
  <c r="F57" i="20"/>
  <c r="F58" i="20"/>
  <c r="F63" i="20"/>
  <c r="F64" i="20"/>
  <c r="F6" i="60"/>
  <c r="G6" i="60"/>
  <c r="F7" i="60"/>
  <c r="G7" i="60"/>
  <c r="F8" i="60"/>
  <c r="G8" i="60"/>
  <c r="F9" i="60"/>
  <c r="G9" i="60"/>
  <c r="F10" i="60"/>
  <c r="G10" i="60"/>
  <c r="F11" i="60"/>
  <c r="G11" i="60"/>
  <c r="F12" i="60"/>
  <c r="G12" i="60"/>
  <c r="F13" i="60"/>
  <c r="G13" i="60"/>
  <c r="F14" i="60"/>
  <c r="G14" i="60"/>
  <c r="F15" i="60"/>
  <c r="G15" i="60"/>
  <c r="F16" i="60"/>
  <c r="G16" i="60"/>
  <c r="F17" i="60"/>
  <c r="G17" i="60"/>
  <c r="F18" i="60"/>
  <c r="G18" i="60"/>
  <c r="F19" i="60"/>
  <c r="G19" i="60"/>
  <c r="F20" i="60"/>
  <c r="G20" i="60"/>
  <c r="F21" i="60"/>
  <c r="G21" i="60"/>
  <c r="F22" i="60"/>
  <c r="G22" i="60"/>
  <c r="F23" i="60"/>
  <c r="G23" i="60"/>
  <c r="F24" i="60"/>
  <c r="G24" i="60"/>
  <c r="F25" i="60"/>
  <c r="G25" i="60"/>
  <c r="F26" i="60"/>
  <c r="G26" i="60"/>
  <c r="F27" i="60"/>
  <c r="G27" i="60"/>
  <c r="F28" i="60"/>
  <c r="G28" i="60"/>
  <c r="F29" i="60"/>
  <c r="G29" i="60"/>
  <c r="F30" i="60"/>
  <c r="G30" i="60"/>
  <c r="F31" i="60"/>
  <c r="G31" i="60"/>
  <c r="F32" i="60"/>
  <c r="G32" i="60"/>
  <c r="F33" i="60"/>
  <c r="G33" i="60"/>
  <c r="F7" i="22"/>
  <c r="G7" i="22"/>
  <c r="F8" i="22"/>
  <c r="G8" i="22"/>
  <c r="F9" i="22"/>
  <c r="G9" i="22"/>
  <c r="F10" i="22"/>
  <c r="G10" i="22"/>
  <c r="F11" i="22"/>
  <c r="G11" i="22"/>
  <c r="F12" i="22"/>
  <c r="G12" i="22"/>
  <c r="F13" i="22"/>
  <c r="G13" i="22"/>
  <c r="F14" i="22"/>
  <c r="G14" i="22"/>
  <c r="F15" i="22"/>
  <c r="G15" i="22"/>
  <c r="F16" i="22"/>
  <c r="G16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23" i="22"/>
  <c r="G23" i="22"/>
  <c r="F24" i="22"/>
  <c r="G24" i="22"/>
  <c r="F25" i="22"/>
  <c r="G25" i="22"/>
  <c r="F26" i="22"/>
  <c r="G26" i="22"/>
  <c r="F27" i="22"/>
  <c r="G27" i="22"/>
  <c r="F28" i="22"/>
  <c r="G28" i="22"/>
  <c r="F29" i="22"/>
  <c r="G29" i="22"/>
  <c r="F30" i="22"/>
  <c r="G30" i="22"/>
  <c r="F31" i="22"/>
  <c r="G31" i="22"/>
  <c r="F32" i="22"/>
  <c r="G32" i="22"/>
  <c r="F33" i="22"/>
  <c r="G33" i="22"/>
  <c r="G6" i="19"/>
  <c r="F7" i="19"/>
  <c r="G7" i="19"/>
  <c r="F8" i="19"/>
  <c r="G8" i="19"/>
  <c r="F9" i="19"/>
  <c r="G9" i="19"/>
  <c r="F10" i="19"/>
  <c r="G10" i="19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F24" i="19"/>
  <c r="G24" i="19"/>
  <c r="F31" i="19"/>
  <c r="G31" i="19"/>
  <c r="F32" i="19"/>
  <c r="G32" i="19"/>
  <c r="F33" i="19"/>
  <c r="G33" i="19"/>
  <c r="F34" i="19"/>
  <c r="G34" i="19"/>
  <c r="F35" i="19"/>
  <c r="G35" i="19"/>
  <c r="F36" i="19"/>
  <c r="G36" i="19"/>
  <c r="F37" i="19"/>
  <c r="G37" i="19"/>
  <c r="F38" i="19"/>
  <c r="G38" i="19"/>
  <c r="F39" i="19"/>
  <c r="G39" i="19"/>
  <c r="F40" i="19"/>
  <c r="G40" i="19"/>
  <c r="F41" i="19"/>
  <c r="G41" i="19"/>
  <c r="F42" i="19"/>
  <c r="G42" i="19"/>
  <c r="F43" i="19"/>
  <c r="G43" i="19"/>
  <c r="F44" i="19"/>
  <c r="G44" i="19"/>
  <c r="F45" i="19"/>
  <c r="G45" i="19"/>
  <c r="F46" i="19"/>
  <c r="G46" i="19"/>
  <c r="F47" i="19"/>
  <c r="G47" i="19"/>
  <c r="F48" i="19"/>
  <c r="G48" i="19"/>
  <c r="F49" i="19"/>
  <c r="G49" i="19"/>
  <c r="G6" i="18"/>
  <c r="F7" i="18"/>
  <c r="G7" i="18"/>
  <c r="F8" i="18"/>
  <c r="G8" i="18"/>
  <c r="F9" i="18"/>
  <c r="G9" i="18"/>
  <c r="G10" i="18"/>
  <c r="F11" i="18"/>
  <c r="G11" i="18"/>
  <c r="F12" i="18"/>
  <c r="G12" i="18"/>
  <c r="F13" i="18"/>
  <c r="G13" i="18"/>
  <c r="F14" i="18"/>
  <c r="G14" i="18"/>
  <c r="F15" i="18"/>
  <c r="G15" i="18"/>
  <c r="G22" i="18"/>
  <c r="F23" i="18"/>
  <c r="G23" i="18"/>
  <c r="F24" i="18"/>
  <c r="G24" i="18"/>
  <c r="F25" i="18"/>
  <c r="G25" i="18"/>
  <c r="F26" i="18"/>
  <c r="G26" i="18"/>
  <c r="F27" i="18"/>
  <c r="G27" i="18"/>
  <c r="F28" i="18"/>
  <c r="G28" i="18"/>
  <c r="F29" i="18"/>
  <c r="G29" i="18"/>
  <c r="F30" i="18"/>
  <c r="G30" i="18"/>
  <c r="F31" i="18"/>
  <c r="G31" i="18"/>
  <c r="F32" i="18"/>
  <c r="G32" i="18"/>
  <c r="F33" i="18"/>
  <c r="G33" i="18"/>
  <c r="F34" i="18"/>
  <c r="G34" i="18"/>
  <c r="F35" i="18"/>
  <c r="G35" i="18"/>
  <c r="F36" i="18"/>
  <c r="G36" i="18"/>
  <c r="F38" i="18"/>
  <c r="G38" i="18"/>
  <c r="F40" i="18"/>
  <c r="G40" i="18"/>
  <c r="G41" i="18"/>
  <c r="F42" i="18"/>
  <c r="G42" i="18"/>
  <c r="F50" i="18"/>
  <c r="G50" i="18"/>
  <c r="F51" i="18"/>
  <c r="G51" i="18"/>
  <c r="F52" i="18"/>
  <c r="G52" i="18"/>
  <c r="F53" i="18"/>
  <c r="G53" i="18"/>
  <c r="F54" i="18"/>
  <c r="G54" i="18"/>
  <c r="F55" i="18"/>
  <c r="G55" i="18"/>
  <c r="F56" i="18"/>
  <c r="G56" i="18"/>
  <c r="F57" i="18"/>
  <c r="G57" i="18"/>
  <c r="F58" i="18"/>
  <c r="G58" i="18"/>
  <c r="F59" i="18"/>
  <c r="G59" i="18"/>
  <c r="F60" i="18"/>
  <c r="G60" i="18"/>
  <c r="F61" i="18"/>
  <c r="G61" i="18"/>
  <c r="F62" i="18"/>
  <c r="G62" i="18"/>
  <c r="F63" i="18"/>
  <c r="G63" i="18"/>
  <c r="F64" i="18"/>
  <c r="G64" i="18"/>
  <c r="F65" i="18"/>
  <c r="G65" i="18"/>
  <c r="F66" i="18"/>
  <c r="G66" i="18"/>
  <c r="G6" i="17"/>
  <c r="F7" i="17"/>
  <c r="G7" i="17"/>
  <c r="F8" i="17"/>
  <c r="G8" i="17"/>
  <c r="F9" i="17"/>
  <c r="G9" i="17"/>
  <c r="F10" i="17"/>
  <c r="G10" i="17"/>
  <c r="F11" i="17"/>
  <c r="G11" i="17"/>
  <c r="F12" i="17"/>
  <c r="G12" i="17"/>
  <c r="F13" i="17"/>
  <c r="G13" i="17"/>
  <c r="F14" i="17"/>
  <c r="G14" i="17"/>
  <c r="F15" i="17"/>
  <c r="G15" i="17"/>
  <c r="F16" i="17"/>
  <c r="G16" i="17"/>
  <c r="F17" i="17"/>
  <c r="G17" i="17"/>
  <c r="F18" i="17"/>
  <c r="G18" i="17"/>
  <c r="F19" i="17"/>
  <c r="G19" i="17"/>
  <c r="F20" i="17"/>
  <c r="G20" i="17"/>
  <c r="F21" i="17"/>
  <c r="G21" i="17"/>
  <c r="F22" i="17"/>
  <c r="G22" i="17"/>
  <c r="F23" i="17"/>
  <c r="G23" i="17"/>
  <c r="F24" i="17"/>
  <c r="G24" i="17"/>
  <c r="F25" i="17"/>
  <c r="G25" i="17"/>
  <c r="F26" i="17"/>
  <c r="G26" i="17"/>
  <c r="F27" i="17"/>
  <c r="F35" i="17"/>
  <c r="G35" i="17"/>
  <c r="F36" i="17"/>
  <c r="G36" i="17"/>
  <c r="F37" i="17"/>
  <c r="G37" i="17"/>
  <c r="F38" i="17"/>
  <c r="G38" i="17"/>
  <c r="F39" i="17"/>
  <c r="G39" i="17"/>
  <c r="F40" i="17"/>
  <c r="G40" i="17"/>
  <c r="F41" i="17"/>
  <c r="G41" i="17"/>
  <c r="F42" i="17"/>
  <c r="G42" i="17"/>
  <c r="F43" i="17"/>
  <c r="G43" i="17"/>
  <c r="F44" i="17"/>
  <c r="G44" i="17"/>
  <c r="F45" i="17"/>
  <c r="G45" i="17"/>
  <c r="F46" i="17"/>
  <c r="G46" i="17"/>
  <c r="F47" i="17"/>
  <c r="G47" i="17"/>
  <c r="F48" i="17"/>
  <c r="G48" i="17"/>
  <c r="F49" i="17"/>
  <c r="G49" i="17"/>
  <c r="F50" i="17"/>
  <c r="G50" i="17"/>
  <c r="F51" i="17"/>
  <c r="G51" i="17"/>
  <c r="F52" i="17"/>
  <c r="G52" i="17"/>
  <c r="F6" i="15"/>
  <c r="G6" i="15"/>
  <c r="F7" i="15"/>
  <c r="G7" i="15"/>
  <c r="F8" i="15"/>
  <c r="G8" i="15"/>
  <c r="F9" i="15"/>
  <c r="G9" i="15"/>
  <c r="F10" i="15"/>
  <c r="G10" i="15"/>
  <c r="F11" i="15"/>
  <c r="G11" i="15"/>
  <c r="F12" i="15"/>
  <c r="G12" i="15"/>
  <c r="F13" i="15"/>
  <c r="G13" i="15"/>
  <c r="F14" i="15"/>
  <c r="G14" i="15"/>
  <c r="F15" i="15"/>
  <c r="G15" i="15"/>
  <c r="F16" i="15"/>
  <c r="G16" i="15"/>
  <c r="F17" i="15"/>
  <c r="G17" i="15"/>
  <c r="F18" i="15"/>
  <c r="G18" i="15"/>
  <c r="F19" i="15"/>
  <c r="G19" i="15"/>
  <c r="F20" i="15"/>
  <c r="G20" i="15"/>
  <c r="F21" i="15"/>
  <c r="G21" i="15"/>
  <c r="F22" i="15"/>
  <c r="G22" i="15"/>
  <c r="F23" i="15"/>
  <c r="G23" i="15"/>
  <c r="F24" i="15"/>
  <c r="G24" i="15"/>
  <c r="F25" i="15"/>
  <c r="G25" i="15"/>
  <c r="F26" i="15"/>
  <c r="G26" i="15"/>
  <c r="F27" i="15"/>
  <c r="G27" i="15"/>
  <c r="F28" i="15"/>
  <c r="G28" i="15"/>
  <c r="F29" i="15"/>
  <c r="G29" i="15"/>
  <c r="F30" i="15"/>
  <c r="G30" i="15"/>
  <c r="F31" i="15"/>
  <c r="G31" i="15"/>
  <c r="F32" i="15"/>
  <c r="G32" i="15"/>
  <c r="F33" i="15"/>
  <c r="F34" i="15"/>
  <c r="G34" i="15"/>
  <c r="F35" i="15"/>
  <c r="G35" i="15"/>
  <c r="G6" i="24"/>
  <c r="G7" i="24"/>
  <c r="G8" i="24"/>
  <c r="G9" i="24"/>
  <c r="G11" i="24"/>
  <c r="G12" i="24"/>
  <c r="G13" i="24"/>
  <c r="G14" i="24"/>
  <c r="G15" i="24"/>
  <c r="G16" i="24"/>
  <c r="G17" i="24"/>
  <c r="G18" i="24"/>
</calcChain>
</file>

<file path=xl/sharedStrings.xml><?xml version="1.0" encoding="utf-8"?>
<sst xmlns="http://schemas.openxmlformats.org/spreadsheetml/2006/main" count="1121" uniqueCount="241">
  <si>
    <t>и глубокого разведочного бурения</t>
  </si>
  <si>
    <t>конструкции 6х31(1+6+6/6+12)</t>
  </si>
  <si>
    <t>Диаметр, мм</t>
  </si>
  <si>
    <t>С</t>
  </si>
  <si>
    <t>КАНАТ ОДИНАРНОЙ СВИВКИ ТИПА ЛК-О</t>
  </si>
  <si>
    <t xml:space="preserve">  ГОСТ  3062-80</t>
  </si>
  <si>
    <t>КОНСТРУКЦИИ  1х7(1+6)</t>
  </si>
  <si>
    <t>Светлый</t>
  </si>
  <si>
    <t>КАНАТ ДВОЙНОЙ СВИВКИ ТИПА ТК</t>
  </si>
  <si>
    <t xml:space="preserve">  ГОСТ 3063-80 </t>
  </si>
  <si>
    <t>КОНСТРУКЦИИ 1х19(1+6+12)</t>
  </si>
  <si>
    <t xml:space="preserve">  ГОСТ 3064-80</t>
  </si>
  <si>
    <t>КАНАТ ОДИНАРНОЙ СВИВКИ ТИПА ТК</t>
  </si>
  <si>
    <t>КОНСТРУКЦИИ 1х37 (1+6+12+18)</t>
  </si>
  <si>
    <t xml:space="preserve">  ГОСТ 3066-80 </t>
  </si>
  <si>
    <t>КАНАТ ДВОЙНОЙ СВИВКИ ТИПА ЛК-Р</t>
  </si>
  <si>
    <t>КОНСТРУКЦИИ 6х7(1+6)+1х7(1+6)</t>
  </si>
  <si>
    <t>КОНСТРУКЦИИ 6х19(1+6+12)+1х19(1+6+12)</t>
  </si>
  <si>
    <t xml:space="preserve">  ГОСТ 3069-80</t>
  </si>
  <si>
    <t>КАНАТ ДВОЙНОЙ СВИВКИ ТИПА ЛК-О</t>
  </si>
  <si>
    <t>КОНСТРУКЦИИ 6х7(1+6)+1о.с.</t>
  </si>
  <si>
    <t xml:space="preserve">  ГОСТ 3070-88</t>
  </si>
  <si>
    <t>КОНСТРУКЦИИ 6х19(1+6+12)+1о.с.</t>
  </si>
  <si>
    <t xml:space="preserve">  ГОСТ 3071-88 </t>
  </si>
  <si>
    <t>КОНСТРУКЦИИ 6х37(1+6+12+18)+1 о.с.</t>
  </si>
  <si>
    <t xml:space="preserve">  ГОСТ 3077-80 </t>
  </si>
  <si>
    <t xml:space="preserve">  ГОСТ 3079-80 </t>
  </si>
  <si>
    <t>КАНАТ ДВОЙНОЙ СВИВКИ ТИПА ТЛК-О</t>
  </si>
  <si>
    <t>КОНСТРУКЦИИ 6х37(1+6+15+15)+1о.с.</t>
  </si>
  <si>
    <t xml:space="preserve">  ГОСТ 3081-80 </t>
  </si>
  <si>
    <t>КОНСТРУКЦИИ 6х19(1+9+9)+7х7(1+6)</t>
  </si>
  <si>
    <t xml:space="preserve">  ГОСТ 3083-80</t>
  </si>
  <si>
    <t>КОНСТРУКЦИИ 6х30(0+15+15)+7о.с.</t>
  </si>
  <si>
    <t xml:space="preserve">  ГОСТ 3089-80 </t>
  </si>
  <si>
    <t>КАНАТ ТРОЙНОЙ СВИВКИ ТИПА ЛК-Р</t>
  </si>
  <si>
    <t>КОНСТРУКЦИИ 6х7х19(1+6+6+/6)+1о.с.</t>
  </si>
  <si>
    <t xml:space="preserve">  ГОСТ 7665-80</t>
  </si>
  <si>
    <t>КАНАТ ДВОЙНОЙ СВИВКИ ТИПА ЛК-3</t>
  </si>
  <si>
    <t>КОНСТРУКЦИИ 6х25(1+6;6+12)+1о.с.</t>
  </si>
  <si>
    <t xml:space="preserve">  ГОСТ 16853-88</t>
  </si>
  <si>
    <t xml:space="preserve">  ГОСТ 7667-80</t>
  </si>
  <si>
    <t>КОНСТРУКЦИИ 6х25(1+6;6+12)+7х7(1+6)</t>
  </si>
  <si>
    <t xml:space="preserve">  ГОСТ 7668-80</t>
  </si>
  <si>
    <t>КАНАТ ДВОЙНОЙ СВИВКИ ТИПА ЛК-РО</t>
  </si>
  <si>
    <t>КОНСТРУКЦИИ 6х36(1+7+7/7+14)+1о.с.</t>
  </si>
  <si>
    <t xml:space="preserve">  ГОСТ 7669-80</t>
  </si>
  <si>
    <t>КОНСТРУКЦИИ 6х36(1+7+7/7+14)+7х7(1+6)</t>
  </si>
  <si>
    <t xml:space="preserve">  ГОСТ 14954-80</t>
  </si>
  <si>
    <t>КОНСТРУКЦИИ 6х19(1+6+6/6)+7х7(1+6)</t>
  </si>
  <si>
    <t xml:space="preserve">  ГОСТ 2688-80 </t>
  </si>
  <si>
    <t>КОНСТРУКЦИИ 6*19(1+6+6/6)+1о.с.</t>
  </si>
  <si>
    <t>КАНАТЫ</t>
  </si>
  <si>
    <t xml:space="preserve">ГОСТ 2688-80 </t>
  </si>
  <si>
    <t>конструкция 6х19 (1+6+6/6) + 1 о.с.</t>
  </si>
  <si>
    <t>ГОСТ 3062-80</t>
  </si>
  <si>
    <t>конструкция 1х7 (1+6)</t>
  </si>
  <si>
    <t xml:space="preserve">ГОСТ 3063-80 </t>
  </si>
  <si>
    <t>конструкция 1х19 (1+6+12)</t>
  </si>
  <si>
    <t>ГОСТ 3064-80</t>
  </si>
  <si>
    <t>конструкция1х37 (1+6+12+18)</t>
  </si>
  <si>
    <t xml:space="preserve">ГОСТ 3066-80 </t>
  </si>
  <si>
    <t>конструкция 6х7 (1+6)+1х7(1+6)</t>
  </si>
  <si>
    <t xml:space="preserve">ГОСТ 3067-80 </t>
  </si>
  <si>
    <t>конструкция 6х19 (1+6+12)+1х19(1+6+12)</t>
  </si>
  <si>
    <t>ГОСТ 3069-80</t>
  </si>
  <si>
    <t>конструкция 6х7(1+6)+1 о.с.</t>
  </si>
  <si>
    <t>ГОСТ 3070-88</t>
  </si>
  <si>
    <t>конструкция 6х19 (1+6+12)+1о.с.</t>
  </si>
  <si>
    <t>ГОСТ 3071-88</t>
  </si>
  <si>
    <t>конструкция 6х37 (1+6+12+18)+1 о.с.</t>
  </si>
  <si>
    <t xml:space="preserve">ГОСТ 3077-80 </t>
  </si>
  <si>
    <t>конструкция 6х19(1+9+9)+1о.с.</t>
  </si>
  <si>
    <t xml:space="preserve">ГОСТ 3079-80 </t>
  </si>
  <si>
    <t>конструкция 6х37 (1+6+15+15)+1о.с.</t>
  </si>
  <si>
    <t xml:space="preserve">ГОСТ 3081-80 </t>
  </si>
  <si>
    <t>конструкция 6х19(1+9+9)+7х7(1+6)</t>
  </si>
  <si>
    <t>ГОСТ 3083-80</t>
  </si>
  <si>
    <t>ГОСТ 3089-80</t>
  </si>
  <si>
    <t>конструкция 6х7х19 (1+6+6+/6)+1о.с.</t>
  </si>
  <si>
    <t>ГОСТ 7665-80</t>
  </si>
  <si>
    <t>конструкция 6х25 (1+6;6+12)+1о.с.</t>
  </si>
  <si>
    <t>ГОСТ 16853-88</t>
  </si>
  <si>
    <t>конструкция 6х31 (1+6+6/6+12)+7Х7</t>
  </si>
  <si>
    <t>ГОСТ 7667-80</t>
  </si>
  <si>
    <t>конструкция 6х25 (1+6;6+12)+7х7(1+6)</t>
  </si>
  <si>
    <t>ГОСТ 7668-80</t>
  </si>
  <si>
    <t>конструкция 6х36 (1+7+7/7+14)+1о.с.</t>
  </si>
  <si>
    <t>конструкция 6х36 (1+7+7/7+14)+7х7(1+6)</t>
  </si>
  <si>
    <t>ГОСТ 14954-80</t>
  </si>
  <si>
    <t>конструкция 6х19 (1+6+6/6)+7х7(1+6)</t>
  </si>
  <si>
    <t>КАНАТ СТАЛ. ДВОЙНОЙ СВИВКИ ТИПА ТК</t>
  </si>
  <si>
    <t>Таблица 1</t>
  </si>
  <si>
    <t>Приплаты за дополнительные характеристики по канатам</t>
  </si>
  <si>
    <t>Базовые цены на оцинкованные канаты приведены за группу оцинкования Ж.</t>
  </si>
  <si>
    <t xml:space="preserve">Для получения цены на канат с другими характеристиками необходимо базовую цену умножить </t>
  </si>
  <si>
    <t>Покрытие</t>
  </si>
  <si>
    <t>Группа оцинкования</t>
  </si>
  <si>
    <t>Назначение</t>
  </si>
  <si>
    <t>Без покрытия</t>
  </si>
  <si>
    <t>Грузовой</t>
  </si>
  <si>
    <t>Грузолюдской</t>
  </si>
  <si>
    <t>Ж</t>
  </si>
  <si>
    <t>ОЖ</t>
  </si>
  <si>
    <t>ГОСТ 3068-88</t>
  </si>
  <si>
    <t>ГОСТ 3085-80 И1</t>
  </si>
  <si>
    <t>ГОСТ 3088-80</t>
  </si>
  <si>
    <t>ГОСТ 16827-81</t>
  </si>
  <si>
    <t>ГОСТ 16828-81</t>
  </si>
  <si>
    <t>КАНАТЫ СТАЛЬНЫЕ АВИАЦИОННЫЕ</t>
  </si>
  <si>
    <t>ГОСТ 2172-80</t>
  </si>
  <si>
    <t>И1</t>
  </si>
  <si>
    <t>И2</t>
  </si>
  <si>
    <t xml:space="preserve">на коэффициент пересчета (Таблица 1), соответствующий требуемым характеристикам </t>
  </si>
  <si>
    <t xml:space="preserve"> </t>
  </si>
  <si>
    <t>Оглавление</t>
  </si>
  <si>
    <t>двойной свивки типа ТК конструкции 6x37(1+6+12+18)+1x37(1+6+12+18)</t>
  </si>
  <si>
    <t>ТУ 14-4-273-2002</t>
  </si>
  <si>
    <t>ТУ 14-4-625-2004</t>
  </si>
  <si>
    <t>канат двойной свивки трехграннопрядный конструкции 6x30(6+12+12)+1о.с.</t>
  </si>
  <si>
    <t>двойной свивки типа ЛК-О конструкции 6х30(0+15+15)+7 о.с.</t>
  </si>
  <si>
    <t>стальные авиационные конструкции 6х7(1+6) + 1х7(1+6)</t>
  </si>
  <si>
    <t>двойной свивки многопрядный типа ЛК-Р конструкции 18х19(1+6+6/6)+1 о.с.</t>
  </si>
  <si>
    <t>ТУ 14-4-163-2004</t>
  </si>
  <si>
    <t>КОНСТРУКЦИИ 6х19(1+9+9)+1о.с. (ЛИФТОВЫЕ)</t>
  </si>
  <si>
    <t>Цена с учетом тары, руб/тн</t>
  </si>
  <si>
    <t>Базовые цены на канаты приведены с учетом стоимости барабанов.</t>
  </si>
  <si>
    <t>ТУ 1251-002-71915393-2004</t>
  </si>
  <si>
    <t>Канаты стальные талевые для эксплуатац.</t>
  </si>
  <si>
    <t>СТО 71915393-ТУ 049-2007</t>
  </si>
  <si>
    <t>страница</t>
  </si>
  <si>
    <t>двойной свивки многопрядный малокрутящийся типов ЛК-О и ЛК-Р конструкции 12х7(1+6)+6х19(1+6+6/6)+1 о.с. ……………………………………………………………….</t>
  </si>
  <si>
    <t>Канаты стальные талевые для оснастки буровых установок нефтяных и газовых скважин конструкции 6х26(1+5+5/5+10)+3х19(1+6+6/6)+3 о.з……………………………</t>
  </si>
  <si>
    <t>* - приплата за сердечник из сизаля здесь включена в цену.</t>
  </si>
  <si>
    <t>менее Ø10 мм</t>
  </si>
  <si>
    <t>от Ø30 мм</t>
  </si>
  <si>
    <t>Приплаты применяются к цене каната с учетом всех требуемых характеристик.</t>
  </si>
  <si>
    <t xml:space="preserve">  ГОСТ 3067-88</t>
  </si>
  <si>
    <t>за канаты с х/б сердечником</t>
  </si>
  <si>
    <t>за экспортный барабан</t>
  </si>
  <si>
    <t>за барабан с опалубкой</t>
  </si>
  <si>
    <t>менее 1000 м</t>
  </si>
  <si>
    <t>менее 500 м</t>
  </si>
  <si>
    <t>менее 300 м</t>
  </si>
  <si>
    <t>диаметр каната</t>
  </si>
  <si>
    <t>длина отрезка</t>
  </si>
  <si>
    <t>Смазка Торсиол 55</t>
  </si>
  <si>
    <t>Ориентир. масса 1000м, кг</t>
  </si>
  <si>
    <t xml:space="preserve">Цена с учетом тары, руб/км </t>
  </si>
  <si>
    <t>за морской, речной регистр</t>
  </si>
  <si>
    <t>* - цена включает приплату за сизалевый сердечник</t>
  </si>
  <si>
    <t>Базовые цены без НДС на  канаты</t>
  </si>
  <si>
    <t>НАИМЕНОВАНИЕ ПРОДУКЦИИ</t>
  </si>
  <si>
    <t>приплаты</t>
  </si>
  <si>
    <t>суммарная длина отрезков</t>
  </si>
  <si>
    <t>от 1000 м</t>
  </si>
  <si>
    <t>от 500 м</t>
  </si>
  <si>
    <t>от 300 м</t>
  </si>
  <si>
    <t>Таблица 2</t>
  </si>
  <si>
    <t>Таблица 3</t>
  </si>
  <si>
    <t>При заказе канатов малых длин согласно Таблице 2</t>
  </si>
  <si>
    <t>на одном барабане (резка/вязка)</t>
  </si>
  <si>
    <t>на разных барабанах</t>
  </si>
  <si>
    <t>При заказе серии отрезков одного типоразмера на отрезки малых длин согласно Таблице 3</t>
  </si>
  <si>
    <t>от Ø10мм и менее Ø30мм</t>
  </si>
  <si>
    <t>группа 190   +5%
200-210      +10%
220             +15%</t>
  </si>
  <si>
    <r>
      <t xml:space="preserve">менее </t>
    </r>
    <r>
      <rPr>
        <sz val="10"/>
        <rFont val="Calibri"/>
        <family val="2"/>
        <charset val="204"/>
      </rPr>
      <t>Ø</t>
    </r>
    <r>
      <rPr>
        <sz val="10"/>
        <rFont val="Arial"/>
        <family val="2"/>
        <charset val="204"/>
      </rPr>
      <t>10 мм</t>
    </r>
  </si>
  <si>
    <r>
      <t xml:space="preserve">от </t>
    </r>
    <r>
      <rPr>
        <sz val="10"/>
        <rFont val="Calibri"/>
        <family val="2"/>
        <charset val="204"/>
      </rPr>
      <t>Ø</t>
    </r>
    <r>
      <rPr>
        <sz val="10"/>
        <rFont val="Arial"/>
        <family val="2"/>
        <charset val="204"/>
      </rPr>
      <t xml:space="preserve">10мм и менее </t>
    </r>
    <r>
      <rPr>
        <sz val="10"/>
        <rFont val="Calibri"/>
        <family val="2"/>
        <charset val="204"/>
      </rPr>
      <t>Ø</t>
    </r>
    <r>
      <rPr>
        <sz val="10"/>
        <rFont val="Arial"/>
        <family val="2"/>
        <charset val="204"/>
      </rPr>
      <t>30мм</t>
    </r>
  </si>
  <si>
    <r>
      <t xml:space="preserve">от </t>
    </r>
    <r>
      <rPr>
        <sz val="10"/>
        <rFont val="Calibri"/>
        <family val="2"/>
        <charset val="204"/>
      </rPr>
      <t>Ø</t>
    </r>
    <r>
      <rPr>
        <sz val="10"/>
        <rFont val="Arial"/>
        <family val="2"/>
        <charset val="204"/>
      </rPr>
      <t>30 мм</t>
    </r>
  </si>
  <si>
    <t>за упаковку Флексигард</t>
  </si>
  <si>
    <t>стандарт</t>
  </si>
  <si>
    <t>размер</t>
  </si>
  <si>
    <t>б/п</t>
  </si>
  <si>
    <t>оц</t>
  </si>
  <si>
    <t>серд</t>
  </si>
  <si>
    <t>ГОСТ 2688-80</t>
  </si>
  <si>
    <t>ГОСТ 3063-80</t>
  </si>
  <si>
    <t>index</t>
  </si>
  <si>
    <t>ГОСТ 3066-80</t>
  </si>
  <si>
    <t>ГОСТ 3067-88</t>
  </si>
  <si>
    <t>ГОСТ 3077-80</t>
  </si>
  <si>
    <t>ГОСТ 3079-80</t>
  </si>
  <si>
    <t>ГОСТ 3081-80</t>
  </si>
  <si>
    <t>ГОСТ 3085-80</t>
  </si>
  <si>
    <t>исполнение</t>
  </si>
  <si>
    <t>ГОСТ 7669-80</t>
  </si>
  <si>
    <t>СТО 71915393-ТУ091-2010</t>
  </si>
  <si>
    <t>СТО 71915393-ТУ090-2010</t>
  </si>
  <si>
    <t>СТО 71915393-ТУ049-2007</t>
  </si>
  <si>
    <t>МС</t>
  </si>
  <si>
    <t>ОС</t>
  </si>
  <si>
    <t>двойной свивки многопрядный типа ЛК-РО конструкции 12х36(1+7+7/7+14)+6х36(1+7+7/7+14)+1о.с. ………………………………………………</t>
  </si>
  <si>
    <t>Цена/км б/п</t>
  </si>
  <si>
    <t>Цена/км оц</t>
  </si>
  <si>
    <t>Цена/тн б/п</t>
  </si>
  <si>
    <t>Цена/тн оц</t>
  </si>
  <si>
    <t>Вес, кг</t>
  </si>
  <si>
    <t>Диаметр</t>
  </si>
  <si>
    <t xml:space="preserve">Цена с учетом тары, руб/км
</t>
  </si>
  <si>
    <t xml:space="preserve">Цена с учетом тары, руб/тн
</t>
  </si>
  <si>
    <t>Канат двойной свивки типа ТК конструкции</t>
  </si>
  <si>
    <t>6x37(1+6+12+18)+1x37(1+6+12+18)</t>
  </si>
  <si>
    <t>Канат двойной свивки трехграннопрядный</t>
  </si>
  <si>
    <t>конструкции 6x30(6+12+12)+1о.с. (СИЗАЛЬ*)</t>
  </si>
  <si>
    <t>Канат двойной свивки многопрядный типа ЛК-Р</t>
  </si>
  <si>
    <t>конструкции 18х19(1+6+6/6)+1 о.с. (ПЕНЬКА*)</t>
  </si>
  <si>
    <t>12х36(1+7+7/7+14)+6х36(1+7+7/7+14)+1 о.с.</t>
  </si>
  <si>
    <t>Канат двойной свивки типа ЛК-РО конструкции</t>
  </si>
  <si>
    <t xml:space="preserve">Канат многопрядный малокрутящийся  </t>
  </si>
  <si>
    <t>конструкции 12х7(1+6)+6х19(1+6+6/6)+1 о.с.</t>
  </si>
  <si>
    <t>Канаты стальные талевые для оснастки буровых</t>
  </si>
  <si>
    <t>установок нефтяных и газовых скважин</t>
  </si>
  <si>
    <t>конструкции 6х26(1+5+5/5+10)+3х19(1+6+6/6)+3 о.з.</t>
  </si>
  <si>
    <t>Приплаты за каждое повышение группы прочности (кроме ГОСТ 2172)</t>
  </si>
  <si>
    <r>
      <t xml:space="preserve">за канаты с сердечником из сизаля </t>
    </r>
    <r>
      <rPr>
        <sz val="9"/>
        <rFont val="Arial Cyr"/>
        <charset val="204"/>
      </rPr>
      <t>(кроме талевых, Г16828, Г3085, Г3088)</t>
    </r>
  </si>
  <si>
    <t>Не регламентируется</t>
  </si>
  <si>
    <t>Горячее оцинкование</t>
  </si>
  <si>
    <t>Без покрытияНе регламентируетсяГрузовой</t>
  </si>
  <si>
    <t>Без покрытияНе регламентируетсяГрузолюдской</t>
  </si>
  <si>
    <t>Горячее оцинкованиеЖГрузовой</t>
  </si>
  <si>
    <t>Горячее оцинкованиеЖГрузолюдской</t>
  </si>
  <si>
    <t>Горячее оцинкованиеОЖГрузовой</t>
  </si>
  <si>
    <t>Горячее оцинкованиеОЖГрузолюдской</t>
  </si>
  <si>
    <t>Горячее оцинкованиеСГрузовой</t>
  </si>
  <si>
    <t>Горячее оцинкованиеСГрузолюдской</t>
  </si>
  <si>
    <t>Сизаль</t>
  </si>
  <si>
    <t>ХБ</t>
  </si>
  <si>
    <t>Пенька</t>
  </si>
  <si>
    <t>приплата</t>
  </si>
  <si>
    <t>Сизаль2</t>
  </si>
  <si>
    <t>за канаты с пеньковым сердечником</t>
  </si>
  <si>
    <t>* - приплата за сизалевый сердечник здесь включена в цену.</t>
  </si>
  <si>
    <t>Пенька2</t>
  </si>
  <si>
    <t>за канаты с пеньковым сердечником ГОСТ 3088</t>
  </si>
  <si>
    <t xml:space="preserve">за канаты с сердечником из сизаля, ø11-ø39,5 мм по ГОСТ 7668 и ГОСТ 2688 </t>
  </si>
  <si>
    <t>Смазка Nyrosten T55, Nyrosten A19/200 (кроме талевых)</t>
  </si>
  <si>
    <t>c 01 декабря 2018 г.</t>
  </si>
  <si>
    <t>за усиленный барабан (при весе каната от 10 до 20 тонн)</t>
  </si>
  <si>
    <t>ООО "Триада Финанс"</t>
  </si>
  <si>
    <t>8(4862)54-27-87</t>
  </si>
  <si>
    <t>E-mail: romcha@bk.ru</t>
  </si>
  <si>
    <t>http:// metiz-metall.ru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</si>
</sst>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0.0"/>
    <numFmt numFmtId="168" formatCode="#,##0.0"/>
    <numFmt numFmtId="169" formatCode="_-* #,##0.000_р_._-;\-* #,##0.000_р_._-;_-* &quot;-&quot;??_р_._-;_-@_-"/>
    <numFmt numFmtId="170" formatCode="_-* #,##0.000_р_._-;\-* #,##0.000_р_._-;_-* &quot;-&quot;???_р_._-;_-@_-"/>
    <numFmt numFmtId="171" formatCode="0.0%"/>
    <numFmt numFmtId="172" formatCode="0.0%;&quot;-&quot;;&quot;-&quot;"/>
    <numFmt numFmtId="173" formatCode="#,##0;\-#,##0;\-"/>
    <numFmt numFmtId="174" formatCode="@*."/>
    <numFmt numFmtId="175" formatCode="_)0"/>
    <numFmt numFmtId="176" formatCode="\+0%"/>
    <numFmt numFmtId="177" formatCode="#,##0.0000_ ;\-#,##0.0000\ "/>
    <numFmt numFmtId="178" formatCode="0;\-0;;&quot;Светлый&quot;"/>
    <numFmt numFmtId="179" formatCode="0;\-0;;&quot;Оцинк. &quot;\Ж&quot;&quot;"/>
    <numFmt numFmtId="180" formatCode="_-* #,##0.0_ _ ;\-_-* #,##0.0_ _ ;&quot;-&quot;;_(@_)"/>
    <numFmt numFmtId="181" formatCode="0;\-0;;&quot;-&quot;"/>
    <numFmt numFmtId="182" formatCode="0;\-0;;&quot;Коэффициент пересчета&quot;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2"/>
      <name val="Arial Cyr"/>
      <family val="2"/>
      <charset val="204"/>
    </font>
    <font>
      <b/>
      <sz val="22"/>
      <name val="Arial Cyr"/>
      <family val="2"/>
      <charset val="204"/>
    </font>
    <font>
      <sz val="10"/>
      <color indexed="10"/>
      <name val="Arial Cyr"/>
      <charset val="204"/>
    </font>
    <font>
      <b/>
      <sz val="12"/>
      <name val="Arial Cyr"/>
      <family val="2"/>
      <charset val="204"/>
    </font>
    <font>
      <sz val="16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12"/>
      <name val="Arial Cyr"/>
      <charset val="204"/>
    </font>
    <font>
      <sz val="13"/>
      <name val="Arial Cyr"/>
      <family val="2"/>
      <charset val="204"/>
    </font>
    <font>
      <sz val="10"/>
      <name val="Arial CYR"/>
    </font>
    <font>
      <sz val="14"/>
      <name val="Mistral"/>
      <family val="4"/>
      <charset val="204"/>
    </font>
    <font>
      <sz val="9"/>
      <name val="Arial Cyr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3"/>
      <name val="Arial Cyr"/>
      <charset val="204"/>
    </font>
    <font>
      <sz val="10"/>
      <color theme="5"/>
      <name val="Arial Cyr"/>
      <charset val="204"/>
    </font>
    <font>
      <sz val="10"/>
      <color theme="0"/>
      <name val="Arial Cyr"/>
      <family val="2"/>
      <charset val="204"/>
    </font>
    <font>
      <u/>
      <sz val="10"/>
      <color indexed="12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8"/>
      <name val="Arial"/>
      <family val="2"/>
      <charset val="204"/>
    </font>
    <font>
      <b/>
      <sz val="26"/>
      <name val="Arial Cyr"/>
      <charset val="204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rgb="FF808080"/>
      </left>
      <right style="thin">
        <color rgb="FF808080"/>
      </right>
      <top style="thin">
        <color indexed="23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indexed="23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/>
      <diagonal/>
    </border>
    <border>
      <left style="thin">
        <color indexed="55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hair">
        <color auto="1"/>
      </top>
      <bottom/>
      <diagonal/>
    </border>
    <border>
      <left style="thin">
        <color rgb="FF808080"/>
      </left>
      <right/>
      <top style="thin">
        <color indexed="23"/>
      </top>
      <bottom/>
      <diagonal/>
    </border>
    <border>
      <left/>
      <right style="thin">
        <color rgb="FF808080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hair">
        <color rgb="FF808080"/>
      </left>
      <right/>
      <top style="hair">
        <color auto="1"/>
      </top>
      <bottom/>
      <diagonal/>
    </border>
    <border>
      <left/>
      <right style="hair">
        <color rgb="FF808080"/>
      </right>
      <top style="hair">
        <color auto="1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indexed="23"/>
      </left>
      <right/>
      <top/>
      <bottom style="thin">
        <color rgb="FF808080"/>
      </bottom>
      <diagonal/>
    </border>
    <border>
      <left/>
      <right style="thin">
        <color indexed="23"/>
      </right>
      <top/>
      <bottom style="thin">
        <color rgb="FF808080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23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23"/>
      </top>
      <bottom/>
      <diagonal/>
    </border>
    <border>
      <left style="thin">
        <color indexed="55"/>
      </left>
      <right/>
      <top/>
      <bottom style="thin">
        <color indexed="23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7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165" fontId="2" fillId="0" borderId="0" xfId="4" applyNumberFormat="1" applyFont="1" applyFill="1" applyBorder="1" applyAlignment="1">
      <alignment horizontal="center" vertical="center"/>
    </xf>
    <xf numFmtId="0" fontId="0" fillId="0" borderId="0" xfId="0" applyFill="1"/>
    <xf numFmtId="166" fontId="2" fillId="0" borderId="0" xfId="4" applyNumberFormat="1" applyFont="1" applyFill="1" applyBorder="1" applyAlignment="1">
      <alignment horizontal="center" vertical="center" wrapText="1"/>
    </xf>
    <xf numFmtId="0" fontId="4" fillId="0" borderId="0" xfId="1" applyFill="1" applyAlignment="1" applyProtection="1"/>
    <xf numFmtId="165" fontId="1" fillId="0" borderId="0" xfId="5" applyNumberFormat="1" applyFill="1" applyBorder="1"/>
    <xf numFmtId="165" fontId="2" fillId="0" borderId="0" xfId="5" applyNumberFormat="1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vertical="center"/>
    </xf>
    <xf numFmtId="165" fontId="1" fillId="0" borderId="0" xfId="4" applyNumberFormat="1" applyFill="1" applyBorder="1"/>
    <xf numFmtId="166" fontId="0" fillId="0" borderId="0" xfId="4" applyNumberFormat="1" applyFont="1" applyFill="1" applyBorder="1"/>
    <xf numFmtId="165" fontId="0" fillId="0" borderId="0" xfId="4" applyNumberFormat="1" applyFont="1" applyFill="1" applyBorder="1"/>
    <xf numFmtId="165" fontId="0" fillId="0" borderId="0" xfId="4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4" applyFont="1" applyFill="1"/>
    <xf numFmtId="0" fontId="0" fillId="0" borderId="0" xfId="0" applyFill="1" applyAlignment="1">
      <alignment horizontal="right"/>
    </xf>
    <xf numFmtId="0" fontId="2" fillId="0" borderId="0" xfId="0" applyFont="1" applyFill="1" applyAlignment="1">
      <alignment vertical="center" wrapText="1"/>
    </xf>
    <xf numFmtId="170" fontId="0" fillId="0" borderId="0" xfId="0" applyNumberFormat="1" applyFill="1"/>
    <xf numFmtId="171" fontId="0" fillId="0" borderId="0" xfId="3" applyNumberFormat="1" applyFont="1" applyFill="1"/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2" fontId="0" fillId="0" borderId="0" xfId="3" applyNumberFormat="1" applyFont="1" applyFill="1" applyAlignment="1">
      <alignment horizontal="center"/>
    </xf>
    <xf numFmtId="172" fontId="0" fillId="0" borderId="0" xfId="3" applyNumberFormat="1" applyFont="1" applyFill="1" applyAlignment="1">
      <alignment horizontal="center"/>
    </xf>
    <xf numFmtId="4" fontId="0" fillId="0" borderId="0" xfId="3" applyNumberFormat="1" applyFont="1" applyFill="1"/>
    <xf numFmtId="2" fontId="0" fillId="0" borderId="0" xfId="3" applyNumberFormat="1" applyFont="1" applyFill="1"/>
    <xf numFmtId="4" fontId="0" fillId="0" borderId="0" xfId="3" applyNumberFormat="1" applyFont="1" applyFill="1" applyAlignment="1">
      <alignment horizontal="center"/>
    </xf>
    <xf numFmtId="9" fontId="0" fillId="0" borderId="0" xfId="3" applyFont="1" applyFill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9" fontId="2" fillId="0" borderId="0" xfId="3" applyFont="1" applyFill="1" applyAlignment="1">
      <alignment horizontal="center" vertical="center"/>
    </xf>
    <xf numFmtId="9" fontId="2" fillId="0" borderId="0" xfId="3" applyNumberFormat="1" applyFont="1" applyFill="1" applyAlignment="1">
      <alignment horizontal="center" vertical="center"/>
    </xf>
    <xf numFmtId="10" fontId="2" fillId="0" borderId="0" xfId="3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174" fontId="2" fillId="0" borderId="0" xfId="0" applyNumberFormat="1" applyFont="1" applyFill="1" applyBorder="1" applyAlignment="1">
      <alignment vertical="center" wrapText="1"/>
    </xf>
    <xf numFmtId="175" fontId="12" fillId="0" borderId="0" xfId="0" applyNumberFormat="1" applyFont="1" applyFill="1" applyBorder="1" applyAlignment="1">
      <alignment horizontal="left"/>
    </xf>
    <xf numFmtId="171" fontId="2" fillId="0" borderId="0" xfId="3" applyNumberFormat="1" applyFont="1" applyFill="1" applyAlignment="1">
      <alignment horizontal="center" vertical="center"/>
    </xf>
    <xf numFmtId="168" fontId="0" fillId="0" borderId="0" xfId="4" applyNumberFormat="1" applyFont="1" applyFill="1" applyBorder="1" applyAlignment="1">
      <alignment horizontal="center"/>
    </xf>
    <xf numFmtId="169" fontId="1" fillId="0" borderId="0" xfId="4" applyNumberFormat="1" applyFill="1" applyBorder="1"/>
    <xf numFmtId="0" fontId="16" fillId="0" borderId="0" xfId="0" applyFont="1" applyFill="1" applyBorder="1" applyAlignment="1">
      <alignment horizontal="center" wrapText="1"/>
    </xf>
    <xf numFmtId="165" fontId="2" fillId="0" borderId="1" xfId="4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165" fontId="1" fillId="0" borderId="1" xfId="4" applyNumberFormat="1" applyFill="1" applyBorder="1"/>
    <xf numFmtId="0" fontId="2" fillId="0" borderId="1" xfId="0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166" fontId="0" fillId="0" borderId="1" xfId="4" applyNumberFormat="1" applyFont="1" applyFill="1" applyBorder="1"/>
    <xf numFmtId="165" fontId="2" fillId="0" borderId="1" xfId="5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165" fontId="1" fillId="0" borderId="1" xfId="4" applyNumberFormat="1" applyFont="1" applyFill="1" applyBorder="1"/>
    <xf numFmtId="167" fontId="2" fillId="0" borderId="4" xfId="0" applyNumberFormat="1" applyFont="1" applyFill="1" applyBorder="1" applyAlignment="1">
      <alignment horizontal="center"/>
    </xf>
    <xf numFmtId="165" fontId="1" fillId="0" borderId="4" xfId="4" applyNumberForma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168" fontId="0" fillId="0" borderId="1" xfId="4" applyNumberFormat="1" applyFont="1" applyFill="1" applyBorder="1" applyAlignment="1">
      <alignment horizontal="center"/>
    </xf>
    <xf numFmtId="165" fontId="1" fillId="0" borderId="1" xfId="5" applyNumberFormat="1" applyFill="1" applyBorder="1"/>
    <xf numFmtId="166" fontId="2" fillId="0" borderId="1" xfId="4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67" fontId="2" fillId="0" borderId="17" xfId="0" applyNumberFormat="1" applyFont="1" applyFill="1" applyBorder="1" applyAlignment="1">
      <alignment horizontal="center"/>
    </xf>
    <xf numFmtId="1" fontId="2" fillId="0" borderId="17" xfId="0" applyNumberFormat="1" applyFont="1" applyFill="1" applyBorder="1" applyAlignment="1">
      <alignment horizontal="center"/>
    </xf>
    <xf numFmtId="165" fontId="1" fillId="0" borderId="17" xfId="4" applyNumberFormat="1" applyFill="1" applyBorder="1"/>
    <xf numFmtId="167" fontId="2" fillId="0" borderId="21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 wrapText="1"/>
    </xf>
    <xf numFmtId="165" fontId="1" fillId="0" borderId="20" xfId="4" applyNumberFormat="1" applyFill="1" applyBorder="1"/>
    <xf numFmtId="167" fontId="2" fillId="0" borderId="17" xfId="0" applyNumberFormat="1" applyFont="1" applyFill="1" applyBorder="1" applyAlignment="1">
      <alignment horizontal="center" vertical="center"/>
    </xf>
    <xf numFmtId="1" fontId="2" fillId="0" borderId="17" xfId="0" applyNumberFormat="1" applyFont="1" applyFill="1" applyBorder="1" applyAlignment="1">
      <alignment horizontal="center" vertical="center"/>
    </xf>
    <xf numFmtId="165" fontId="1" fillId="0" borderId="26" xfId="4" applyNumberFormat="1" applyFill="1" applyBorder="1"/>
    <xf numFmtId="0" fontId="0" fillId="0" borderId="26" xfId="0" applyFill="1" applyBorder="1" applyAlignment="1">
      <alignment horizontal="center"/>
    </xf>
    <xf numFmtId="0" fontId="0" fillId="0" borderId="26" xfId="0" applyFill="1" applyBorder="1" applyAlignment="1">
      <alignment horizontal="center" vertical="center"/>
    </xf>
    <xf numFmtId="176" fontId="0" fillId="0" borderId="26" xfId="0" applyNumberFormat="1" applyFill="1" applyBorder="1" applyAlignment="1">
      <alignment horizontal="center"/>
    </xf>
    <xf numFmtId="0" fontId="11" fillId="0" borderId="26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17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/>
    <xf numFmtId="167" fontId="2" fillId="0" borderId="30" xfId="0" applyNumberFormat="1" applyFont="1" applyFill="1" applyBorder="1" applyAlignment="1">
      <alignment horizontal="center"/>
    </xf>
    <xf numFmtId="165" fontId="2" fillId="0" borderId="30" xfId="5" applyNumberFormat="1" applyFont="1" applyFill="1" applyBorder="1" applyAlignment="1">
      <alignment horizontal="center" vertical="center"/>
    </xf>
    <xf numFmtId="167" fontId="2" fillId="0" borderId="30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/>
    </xf>
    <xf numFmtId="3" fontId="0" fillId="0" borderId="1" xfId="4" applyNumberFormat="1" applyFont="1" applyFill="1" applyBorder="1" applyAlignment="1">
      <alignment horizontal="center"/>
    </xf>
    <xf numFmtId="165" fontId="1" fillId="0" borderId="30" xfId="4" applyNumberFormat="1" applyFill="1" applyBorder="1"/>
    <xf numFmtId="0" fontId="3" fillId="0" borderId="26" xfId="0" applyFont="1" applyFill="1" applyBorder="1" applyAlignment="1">
      <alignment horizontal="center" vertical="center" wrapText="1"/>
    </xf>
    <xf numFmtId="167" fontId="2" fillId="0" borderId="26" xfId="0" applyNumberFormat="1" applyFont="1" applyFill="1" applyBorder="1" applyAlignment="1">
      <alignment horizontal="center" vertical="center"/>
    </xf>
    <xf numFmtId="165" fontId="1" fillId="0" borderId="1" xfId="4" applyNumberFormat="1" applyFill="1" applyBorder="1" applyAlignment="1">
      <alignment horizontal="center" vertical="center"/>
    </xf>
    <xf numFmtId="0" fontId="0" fillId="0" borderId="26" xfId="0" applyFill="1" applyBorder="1"/>
    <xf numFmtId="165" fontId="2" fillId="0" borderId="17" xfId="4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5" fontId="1" fillId="0" borderId="4" xfId="4" applyNumberForma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/>
    </xf>
    <xf numFmtId="176" fontId="0" fillId="0" borderId="26" xfId="0" applyNumberFormat="1" applyFill="1" applyBorder="1" applyAlignment="1">
      <alignment horizontal="left" wrapText="1" indent="1"/>
    </xf>
    <xf numFmtId="0" fontId="11" fillId="0" borderId="0" xfId="0" applyFont="1" applyAlignment="1">
      <alignment horizontal="right"/>
    </xf>
    <xf numFmtId="0" fontId="0" fillId="0" borderId="26" xfId="0" applyFont="1" applyFill="1" applyBorder="1" applyAlignment="1">
      <alignment horizontal="center" vertical="center"/>
    </xf>
    <xf numFmtId="176" fontId="0" fillId="0" borderId="26" xfId="0" applyNumberFormat="1" applyFill="1" applyBorder="1" applyAlignment="1">
      <alignment horizontal="center" vertical="center"/>
    </xf>
    <xf numFmtId="176" fontId="0" fillId="0" borderId="26" xfId="0" applyNumberFormat="1" applyFill="1" applyBorder="1" applyAlignment="1">
      <alignment horizontal="center" vertical="center" wrapText="1"/>
    </xf>
    <xf numFmtId="176" fontId="0" fillId="0" borderId="26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/>
    <xf numFmtId="0" fontId="21" fillId="0" borderId="0" xfId="0" applyFont="1"/>
    <xf numFmtId="0" fontId="13" fillId="0" borderId="0" xfId="1" applyFont="1" applyFill="1" applyBorder="1" applyAlignment="1" applyProtection="1">
      <alignment horizontal="left" vertical="center"/>
    </xf>
    <xf numFmtId="173" fontId="2" fillId="0" borderId="0" xfId="0" applyNumberFormat="1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horizontal="centerContinuous" vertical="center"/>
    </xf>
    <xf numFmtId="174" fontId="2" fillId="0" borderId="0" xfId="0" applyNumberFormat="1" applyFont="1" applyFill="1" applyBorder="1" applyAlignment="1">
      <alignment horizontal="fill" vertical="center" wrapText="1"/>
    </xf>
    <xf numFmtId="167" fontId="2" fillId="0" borderId="19" xfId="0" applyNumberFormat="1" applyFont="1" applyFill="1" applyBorder="1" applyAlignment="1">
      <alignment horizontal="center" vertical="center"/>
    </xf>
    <xf numFmtId="165" fontId="1" fillId="0" borderId="18" xfId="4" applyNumberFormat="1" applyFill="1" applyBorder="1"/>
    <xf numFmtId="165" fontId="1" fillId="0" borderId="18" xfId="4" applyNumberFormat="1" applyFont="1" applyFill="1" applyBorder="1"/>
    <xf numFmtId="167" fontId="2" fillId="0" borderId="10" xfId="0" applyNumberFormat="1" applyFont="1" applyFill="1" applyBorder="1" applyAlignment="1">
      <alignment horizontal="center" vertical="center"/>
    </xf>
    <xf numFmtId="165" fontId="1" fillId="0" borderId="8" xfId="4" applyNumberFormat="1" applyFill="1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13" fillId="0" borderId="0" xfId="1" applyFont="1" applyFill="1" applyBorder="1" applyAlignment="1" applyProtection="1">
      <alignment horizontal="left" vertical="center" indent="1"/>
    </xf>
    <xf numFmtId="0" fontId="2" fillId="0" borderId="0" xfId="0" applyFont="1" applyFill="1" applyAlignment="1">
      <alignment horizontal="left" indent="1"/>
    </xf>
    <xf numFmtId="0" fontId="0" fillId="0" borderId="0" xfId="0" applyFill="1" applyAlignment="1">
      <alignment horizontal="left" indent="1"/>
    </xf>
    <xf numFmtId="0" fontId="0" fillId="0" borderId="26" xfId="0" applyFill="1" applyBorder="1" applyAlignment="1">
      <alignment horizontal="left" inden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178" fontId="5" fillId="0" borderId="28" xfId="6" applyNumberFormat="1" applyFont="1" applyFill="1" applyBorder="1" applyAlignment="1">
      <alignment horizontal="center" vertical="center"/>
    </xf>
    <xf numFmtId="179" fontId="5" fillId="0" borderId="28" xfId="6" applyNumberFormat="1" applyFont="1" applyFill="1" applyBorder="1" applyAlignment="1">
      <alignment horizontal="center" vertical="center"/>
    </xf>
    <xf numFmtId="179" fontId="5" fillId="0" borderId="45" xfId="6" applyNumberFormat="1" applyFont="1" applyFill="1" applyBorder="1" applyAlignment="1">
      <alignment horizontal="center" vertical="center"/>
    </xf>
    <xf numFmtId="167" fontId="2" fillId="0" borderId="34" xfId="0" applyNumberFormat="1" applyFont="1" applyFill="1" applyBorder="1" applyAlignment="1">
      <alignment horizontal="center" vertical="center"/>
    </xf>
    <xf numFmtId="165" fontId="1" fillId="0" borderId="34" xfId="4" applyNumberFormat="1" applyFill="1" applyBorder="1"/>
    <xf numFmtId="0" fontId="5" fillId="0" borderId="0" xfId="0" applyFont="1" applyFill="1"/>
    <xf numFmtId="14" fontId="5" fillId="0" borderId="0" xfId="0" applyNumberFormat="1" applyFont="1" applyFill="1" applyBorder="1" applyAlignment="1">
      <alignment horizontal="center"/>
    </xf>
    <xf numFmtId="0" fontId="23" fillId="0" borderId="0" xfId="1" applyFont="1" applyFill="1" applyAlignment="1" applyProtection="1"/>
    <xf numFmtId="0" fontId="5" fillId="0" borderId="26" xfId="0" applyFont="1" applyFill="1" applyBorder="1" applyAlignment="1">
      <alignment horizontal="centerContinuous" vertical="center"/>
    </xf>
    <xf numFmtId="0" fontId="5" fillId="0" borderId="26" xfId="0" applyFont="1" applyFill="1" applyBorder="1" applyAlignment="1">
      <alignment horizontal="centerContinuous" vertical="center" wrapText="1"/>
    </xf>
    <xf numFmtId="0" fontId="5" fillId="0" borderId="40" xfId="0" applyFont="1" applyFill="1" applyBorder="1" applyAlignment="1">
      <alignment horizontal="centerContinuous" vertical="center"/>
    </xf>
    <xf numFmtId="0" fontId="5" fillId="0" borderId="41" xfId="0" applyFont="1" applyFill="1" applyBorder="1" applyAlignment="1">
      <alignment horizontal="centerContinuous" vertical="center"/>
    </xf>
    <xf numFmtId="165" fontId="5" fillId="0" borderId="26" xfId="4" applyNumberFormat="1" applyFont="1" applyFill="1" applyBorder="1"/>
    <xf numFmtId="166" fontId="5" fillId="0" borderId="0" xfId="4" applyNumberFormat="1" applyFont="1" applyFill="1" applyBorder="1"/>
    <xf numFmtId="165" fontId="5" fillId="0" borderId="0" xfId="4" applyNumberFormat="1" applyFont="1" applyFill="1" applyBorder="1"/>
    <xf numFmtId="0" fontId="5" fillId="0" borderId="0" xfId="0" applyFont="1" applyFill="1" applyAlignment="1">
      <alignment vertical="center"/>
    </xf>
    <xf numFmtId="0" fontId="5" fillId="0" borderId="34" xfId="0" applyFont="1" applyFill="1" applyBorder="1" applyAlignment="1">
      <alignment horizontal="center" vertical="center" wrapText="1"/>
    </xf>
    <xf numFmtId="167" fontId="5" fillId="0" borderId="26" xfId="0" applyNumberFormat="1" applyFont="1" applyFill="1" applyBorder="1" applyAlignment="1">
      <alignment horizontal="center" vertical="center"/>
    </xf>
    <xf numFmtId="9" fontId="5" fillId="0" borderId="0" xfId="3" applyFont="1" applyFill="1" applyAlignment="1">
      <alignment horizontal="center" vertical="center"/>
    </xf>
    <xf numFmtId="1" fontId="5" fillId="0" borderId="0" xfId="0" applyNumberFormat="1" applyFont="1" applyFill="1" applyAlignment="1">
      <alignment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18" fillId="0" borderId="27" xfId="0" applyFont="1" applyFill="1" applyBorder="1" applyAlignment="1">
      <alignment horizontal="centerContinuous" vertical="center"/>
    </xf>
    <xf numFmtId="0" fontId="18" fillId="0" borderId="28" xfId="0" applyFont="1" applyFill="1" applyBorder="1" applyAlignment="1">
      <alignment horizontal="centerContinuous" vertical="center"/>
    </xf>
    <xf numFmtId="0" fontId="18" fillId="0" borderId="26" xfId="0" applyFont="1" applyFill="1" applyBorder="1" applyAlignment="1">
      <alignment horizontal="centerContinuous"/>
    </xf>
    <xf numFmtId="180" fontId="5" fillId="0" borderId="26" xfId="4" applyNumberFormat="1" applyFont="1" applyFill="1" applyBorder="1" applyAlignment="1">
      <alignment horizontal="center" vertical="center"/>
    </xf>
    <xf numFmtId="180" fontId="5" fillId="0" borderId="26" xfId="4" applyNumberFormat="1" applyFont="1" applyFill="1" applyBorder="1"/>
    <xf numFmtId="0" fontId="18" fillId="0" borderId="33" xfId="0" applyFont="1" applyFill="1" applyBorder="1" applyAlignment="1">
      <alignment horizontal="centerContinuous"/>
    </xf>
    <xf numFmtId="0" fontId="24" fillId="0" borderId="33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Continuous"/>
    </xf>
    <xf numFmtId="167" fontId="5" fillId="0" borderId="41" xfId="0" applyNumberFormat="1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Continuous"/>
    </xf>
    <xf numFmtId="167" fontId="5" fillId="0" borderId="28" xfId="0" applyNumberFormat="1" applyFont="1" applyFill="1" applyBorder="1" applyAlignment="1">
      <alignment horizontal="center" vertical="center"/>
    </xf>
    <xf numFmtId="180" fontId="5" fillId="0" borderId="34" xfId="4" applyNumberFormat="1" applyFont="1" applyFill="1" applyBorder="1"/>
    <xf numFmtId="165" fontId="5" fillId="0" borderId="34" xfId="4" applyNumberFormat="1" applyFont="1" applyFill="1" applyBorder="1"/>
    <xf numFmtId="0" fontId="5" fillId="0" borderId="27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Continuous" vertical="center"/>
    </xf>
    <xf numFmtId="0" fontId="2" fillId="0" borderId="19" xfId="0" applyFont="1" applyFill="1" applyBorder="1" applyAlignment="1">
      <alignment horizontal="centerContinuous" vertical="center" wrapText="1"/>
    </xf>
    <xf numFmtId="167" fontId="5" fillId="0" borderId="34" xfId="0" applyNumberFormat="1" applyFont="1" applyFill="1" applyBorder="1" applyAlignment="1">
      <alignment horizontal="center" vertical="center"/>
    </xf>
    <xf numFmtId="180" fontId="5" fillId="0" borderId="34" xfId="4" applyNumberFormat="1" applyFont="1" applyFill="1" applyBorder="1" applyAlignment="1">
      <alignment horizontal="center" vertical="center"/>
    </xf>
    <xf numFmtId="179" fontId="5" fillId="0" borderId="29" xfId="6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centerContinuous" vertical="center" wrapText="1"/>
    </xf>
    <xf numFmtId="0" fontId="2" fillId="0" borderId="47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vertical="center"/>
    </xf>
    <xf numFmtId="178" fontId="5" fillId="0" borderId="17" xfId="6" applyNumberFormat="1" applyFont="1" applyFill="1" applyBorder="1" applyAlignment="1">
      <alignment horizontal="center" vertical="center"/>
    </xf>
    <xf numFmtId="179" fontId="5" fillId="0" borderId="17" xfId="6" applyNumberFormat="1" applyFont="1" applyFill="1" applyBorder="1" applyAlignment="1">
      <alignment horizontal="center" vertical="center"/>
    </xf>
    <xf numFmtId="179" fontId="5" fillId="0" borderId="48" xfId="6" applyNumberFormat="1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Continuous" vertical="center" wrapText="1"/>
    </xf>
    <xf numFmtId="0" fontId="2" fillId="0" borderId="50" xfId="0" applyFont="1" applyFill="1" applyBorder="1" applyAlignment="1">
      <alignment horizontal="centerContinuous" vertical="center" wrapText="1"/>
    </xf>
    <xf numFmtId="0" fontId="2" fillId="0" borderId="28" xfId="0" applyFont="1" applyFill="1" applyBorder="1" applyAlignment="1">
      <alignment horizontal="centerContinuous" vertical="center" wrapText="1"/>
    </xf>
    <xf numFmtId="0" fontId="2" fillId="0" borderId="29" xfId="0" applyFont="1" applyFill="1" applyBorder="1" applyAlignment="1">
      <alignment horizontal="centerContinuous" vertical="center" wrapText="1"/>
    </xf>
    <xf numFmtId="178" fontId="2" fillId="0" borderId="41" xfId="0" applyNumberFormat="1" applyFont="1" applyFill="1" applyBorder="1" applyAlignment="1">
      <alignment horizontal="center" vertical="center"/>
    </xf>
    <xf numFmtId="179" fontId="2" fillId="0" borderId="26" xfId="0" applyNumberFormat="1" applyFont="1" applyFill="1" applyBorder="1" applyAlignment="1">
      <alignment horizontal="center" vertical="center"/>
    </xf>
    <xf numFmtId="178" fontId="2" fillId="0" borderId="26" xfId="0" applyNumberFormat="1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2" fillId="0" borderId="42" xfId="0" applyFont="1" applyFill="1" applyBorder="1" applyAlignment="1">
      <alignment horizontal="center" vertical="center" wrapText="1"/>
    </xf>
    <xf numFmtId="2" fontId="2" fillId="0" borderId="41" xfId="0" applyNumberFormat="1" applyFont="1" applyFill="1" applyBorder="1" applyAlignment="1">
      <alignment horizontal="center" vertical="center"/>
    </xf>
    <xf numFmtId="179" fontId="2" fillId="0" borderId="40" xfId="0" applyNumberFormat="1" applyFont="1" applyFill="1" applyBorder="1" applyAlignment="1">
      <alignment horizontal="center" vertical="center"/>
    </xf>
    <xf numFmtId="165" fontId="1" fillId="0" borderId="40" xfId="4" applyNumberFormat="1" applyFill="1" applyBorder="1"/>
    <xf numFmtId="2" fontId="2" fillId="0" borderId="28" xfId="0" applyNumberFormat="1" applyFont="1" applyFill="1" applyBorder="1" applyAlignment="1">
      <alignment horizontal="center" vertical="center"/>
    </xf>
    <xf numFmtId="165" fontId="1" fillId="0" borderId="27" xfId="4" applyNumberFormat="1" applyFill="1" applyBorder="1"/>
    <xf numFmtId="0" fontId="2" fillId="0" borderId="52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178" fontId="2" fillId="0" borderId="30" xfId="0" applyNumberFormat="1" applyFont="1" applyFill="1" applyBorder="1" applyAlignment="1">
      <alignment horizontal="center" vertical="center"/>
    </xf>
    <xf numFmtId="179" fontId="2" fillId="0" borderId="30" xfId="0" applyNumberFormat="1" applyFont="1" applyFill="1" applyBorder="1" applyAlignment="1">
      <alignment horizontal="center" vertical="center"/>
    </xf>
    <xf numFmtId="178" fontId="2" fillId="0" borderId="19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left" vertical="center"/>
    </xf>
    <xf numFmtId="0" fontId="2" fillId="0" borderId="55" xfId="0" applyFont="1" applyFill="1" applyBorder="1" applyAlignment="1">
      <alignment horizontal="left" vertical="center"/>
    </xf>
    <xf numFmtId="0" fontId="2" fillId="0" borderId="56" xfId="0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58" xfId="0" applyFont="1" applyFill="1" applyBorder="1" applyAlignment="1">
      <alignment horizontal="left" vertical="center"/>
    </xf>
    <xf numFmtId="0" fontId="2" fillId="0" borderId="59" xfId="0" applyFont="1" applyFill="1" applyBorder="1" applyAlignment="1">
      <alignment horizontal="left" vertical="center"/>
    </xf>
    <xf numFmtId="0" fontId="2" fillId="0" borderId="60" xfId="0" applyFont="1" applyFill="1" applyBorder="1" applyAlignment="1">
      <alignment horizontal="left" vertical="center"/>
    </xf>
    <xf numFmtId="0" fontId="22" fillId="0" borderId="58" xfId="0" applyFont="1" applyFill="1" applyBorder="1" applyAlignment="1">
      <alignment horizontal="center" vertical="center" wrapText="1"/>
    </xf>
    <xf numFmtId="2" fontId="2" fillId="0" borderId="52" xfId="0" applyNumberFormat="1" applyFont="1" applyFill="1" applyBorder="1" applyAlignment="1">
      <alignment horizontal="center"/>
    </xf>
    <xf numFmtId="167" fontId="2" fillId="0" borderId="52" xfId="0" applyNumberFormat="1" applyFont="1" applyFill="1" applyBorder="1" applyAlignment="1">
      <alignment horizontal="center" vertical="center"/>
    </xf>
    <xf numFmtId="167" fontId="2" fillId="0" borderId="52" xfId="0" applyNumberFormat="1" applyFont="1" applyFill="1" applyBorder="1" applyAlignment="1">
      <alignment horizontal="center"/>
    </xf>
    <xf numFmtId="179" fontId="2" fillId="0" borderId="51" xfId="0" applyNumberFormat="1" applyFont="1" applyFill="1" applyBorder="1" applyAlignment="1">
      <alignment horizontal="center" vertical="center"/>
    </xf>
    <xf numFmtId="165" fontId="2" fillId="0" borderId="51" xfId="5" applyNumberFormat="1" applyFont="1" applyFill="1" applyBorder="1" applyAlignment="1">
      <alignment horizontal="center" vertical="center"/>
    </xf>
    <xf numFmtId="167" fontId="2" fillId="0" borderId="55" xfId="0" applyNumberFormat="1" applyFont="1" applyFill="1" applyBorder="1" applyAlignment="1">
      <alignment horizontal="center" vertical="center"/>
    </xf>
    <xf numFmtId="167" fontId="2" fillId="0" borderId="31" xfId="0" applyNumberFormat="1" applyFont="1" applyFill="1" applyBorder="1" applyAlignment="1">
      <alignment horizontal="center" vertical="center"/>
    </xf>
    <xf numFmtId="165" fontId="2" fillId="0" borderId="31" xfId="5" applyNumberFormat="1" applyFont="1" applyFill="1" applyBorder="1" applyAlignment="1">
      <alignment horizontal="center" vertical="center"/>
    </xf>
    <xf numFmtId="165" fontId="2" fillId="0" borderId="53" xfId="5" applyNumberFormat="1" applyFont="1" applyFill="1" applyBorder="1" applyAlignment="1">
      <alignment horizontal="center" vertical="center"/>
    </xf>
    <xf numFmtId="2" fontId="2" fillId="0" borderId="19" xfId="0" applyNumberFormat="1" applyFont="1" applyFill="1" applyBorder="1" applyAlignment="1">
      <alignment horizontal="center"/>
    </xf>
    <xf numFmtId="179" fontId="2" fillId="0" borderId="18" xfId="0" applyNumberFormat="1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178" fontId="2" fillId="0" borderId="31" xfId="0" applyNumberFormat="1" applyFont="1" applyFill="1" applyBorder="1" applyAlignment="1">
      <alignment horizontal="center" vertical="center"/>
    </xf>
    <xf numFmtId="179" fontId="2" fillId="0" borderId="31" xfId="0" applyNumberFormat="1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 wrapText="1"/>
    </xf>
    <xf numFmtId="166" fontId="0" fillId="0" borderId="17" xfId="4" applyNumberFormat="1" applyFont="1" applyFill="1" applyBorder="1"/>
    <xf numFmtId="0" fontId="2" fillId="0" borderId="4" xfId="0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horizontal="center" vertical="center"/>
    </xf>
    <xf numFmtId="179" fontId="2" fillId="0" borderId="4" xfId="0" applyNumberFormat="1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 wrapText="1"/>
    </xf>
    <xf numFmtId="167" fontId="2" fillId="0" borderId="61" xfId="0" applyNumberFormat="1" applyFont="1" applyFill="1" applyBorder="1" applyAlignment="1">
      <alignment horizontal="center" vertical="center"/>
    </xf>
    <xf numFmtId="167" fontId="2" fillId="0" borderId="17" xfId="0" applyNumberFormat="1" applyFont="1" applyFill="1" applyBorder="1" applyAlignment="1">
      <alignment horizontal="center" vertical="center" wrapText="1"/>
    </xf>
    <xf numFmtId="165" fontId="1" fillId="0" borderId="62" xfId="4" applyNumberFormat="1" applyFill="1" applyBorder="1"/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4" fontId="5" fillId="0" borderId="0" xfId="3" applyNumberFormat="1" applyFont="1" applyFill="1" applyAlignment="1">
      <alignment horizontal="center"/>
    </xf>
    <xf numFmtId="167" fontId="5" fillId="0" borderId="4" xfId="0" applyNumberFormat="1" applyFont="1" applyFill="1" applyBorder="1" applyAlignment="1">
      <alignment horizontal="center" vertical="center"/>
    </xf>
    <xf numFmtId="165" fontId="5" fillId="0" borderId="4" xfId="4" applyNumberFormat="1" applyFont="1" applyFill="1" applyBorder="1"/>
    <xf numFmtId="172" fontId="5" fillId="0" borderId="0" xfId="3" applyNumberFormat="1" applyFont="1" applyFill="1" applyAlignment="1">
      <alignment horizontal="center"/>
    </xf>
    <xf numFmtId="1" fontId="5" fillId="0" borderId="4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5" fillId="0" borderId="0" xfId="4" applyNumberFormat="1" applyFont="1" applyFill="1" applyBorder="1" applyAlignment="1">
      <alignment horizontal="center" vertical="center"/>
    </xf>
    <xf numFmtId="9" fontId="5" fillId="0" borderId="0" xfId="3" applyFont="1" applyFill="1" applyAlignment="1">
      <alignment vertical="center"/>
    </xf>
    <xf numFmtId="168" fontId="5" fillId="0" borderId="4" xfId="0" applyNumberFormat="1" applyFont="1" applyFill="1" applyBorder="1" applyAlignment="1">
      <alignment horizontal="center" wrapText="1"/>
    </xf>
    <xf numFmtId="3" fontId="5" fillId="0" borderId="4" xfId="0" applyNumberFormat="1" applyFont="1" applyFill="1" applyBorder="1" applyAlignment="1">
      <alignment horizontal="center" wrapText="1"/>
    </xf>
    <xf numFmtId="3" fontId="5" fillId="0" borderId="4" xfId="0" applyNumberFormat="1" applyFont="1" applyFill="1" applyBorder="1" applyAlignment="1">
      <alignment horizontal="center"/>
    </xf>
    <xf numFmtId="178" fontId="5" fillId="0" borderId="4" xfId="0" applyNumberFormat="1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center" vertical="center"/>
    </xf>
    <xf numFmtId="167" fontId="5" fillId="0" borderId="23" xfId="0" applyNumberFormat="1" applyFont="1" applyFill="1" applyBorder="1" applyAlignment="1">
      <alignment horizontal="center" vertical="center"/>
    </xf>
    <xf numFmtId="179" fontId="5" fillId="0" borderId="63" xfId="0" applyNumberFormat="1" applyFont="1" applyFill="1" applyBorder="1" applyAlignment="1">
      <alignment horizontal="center" vertical="center"/>
    </xf>
    <xf numFmtId="165" fontId="5" fillId="0" borderId="63" xfId="4" applyNumberFormat="1" applyFont="1" applyFill="1" applyBorder="1"/>
    <xf numFmtId="167" fontId="5" fillId="0" borderId="13" xfId="0" applyNumberFormat="1" applyFont="1" applyFill="1" applyBorder="1" applyAlignment="1">
      <alignment horizontal="center" vertical="center"/>
    </xf>
    <xf numFmtId="1" fontId="5" fillId="0" borderId="64" xfId="0" applyNumberFormat="1" applyFont="1" applyFill="1" applyBorder="1" applyAlignment="1">
      <alignment horizontal="center" vertical="center"/>
    </xf>
    <xf numFmtId="165" fontId="5" fillId="0" borderId="64" xfId="4" applyNumberFormat="1" applyFont="1" applyFill="1" applyBorder="1" applyAlignment="1">
      <alignment horizontal="center" vertical="center"/>
    </xf>
    <xf numFmtId="165" fontId="5" fillId="0" borderId="64" xfId="4" applyNumberFormat="1" applyFont="1" applyFill="1" applyBorder="1"/>
    <xf numFmtId="165" fontId="5" fillId="0" borderId="11" xfId="4" applyNumberFormat="1" applyFont="1" applyFill="1" applyBorder="1"/>
    <xf numFmtId="0" fontId="5" fillId="0" borderId="23" xfId="0" applyFont="1" applyFill="1" applyBorder="1" applyAlignment="1">
      <alignment horizontal="center" wrapText="1"/>
    </xf>
    <xf numFmtId="167" fontId="5" fillId="0" borderId="23" xfId="0" applyNumberFormat="1" applyFont="1" applyFill="1" applyBorder="1" applyAlignment="1">
      <alignment horizontal="center" wrapText="1"/>
    </xf>
    <xf numFmtId="167" fontId="5" fillId="0" borderId="23" xfId="0" applyNumberFormat="1" applyFont="1" applyFill="1" applyBorder="1" applyAlignment="1">
      <alignment horizontal="center"/>
    </xf>
    <xf numFmtId="167" fontId="5" fillId="0" borderId="13" xfId="0" applyNumberFormat="1" applyFont="1" applyFill="1" applyBorder="1" applyAlignment="1">
      <alignment horizontal="center" wrapText="1"/>
    </xf>
    <xf numFmtId="3" fontId="5" fillId="0" borderId="64" xfId="0" applyNumberFormat="1" applyFont="1" applyFill="1" applyBorder="1" applyAlignment="1">
      <alignment horizontal="center" wrapText="1"/>
    </xf>
    <xf numFmtId="0" fontId="5" fillId="0" borderId="65" xfId="0" applyFont="1" applyFill="1" applyBorder="1" applyAlignment="1">
      <alignment horizontal="center" vertical="center" wrapText="1"/>
    </xf>
    <xf numFmtId="0" fontId="24" fillId="0" borderId="66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5" fillId="0" borderId="65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2" fillId="0" borderId="68" xfId="0" applyFont="1" applyFill="1" applyBorder="1" applyAlignment="1">
      <alignment horizontal="center" vertical="center" wrapText="1"/>
    </xf>
    <xf numFmtId="178" fontId="2" fillId="0" borderId="23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3" fontId="0" fillId="0" borderId="17" xfId="4" applyNumberFormat="1" applyFont="1" applyFill="1" applyBorder="1" applyAlignment="1">
      <alignment horizontal="center"/>
    </xf>
    <xf numFmtId="166" fontId="2" fillId="0" borderId="17" xfId="4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167" fontId="5" fillId="0" borderId="1" xfId="0" applyNumberFormat="1" applyFont="1" applyFill="1" applyBorder="1" applyAlignment="1">
      <alignment horizontal="center" vertical="center"/>
    </xf>
    <xf numFmtId="165" fontId="5" fillId="0" borderId="1" xfId="4" applyNumberFormat="1" applyFont="1" applyFill="1" applyBorder="1"/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 wrapText="1"/>
    </xf>
    <xf numFmtId="167" fontId="5" fillId="0" borderId="17" xfId="0" applyNumberFormat="1" applyFont="1" applyFill="1" applyBorder="1" applyAlignment="1">
      <alignment horizontal="center" vertical="center"/>
    </xf>
    <xf numFmtId="165" fontId="5" fillId="0" borderId="17" xfId="4" applyNumberFormat="1" applyFont="1" applyFill="1" applyBorder="1"/>
    <xf numFmtId="1" fontId="5" fillId="0" borderId="17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/>
    </xf>
    <xf numFmtId="165" fontId="1" fillId="0" borderId="17" xfId="4" applyNumberForma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 wrapText="1"/>
    </xf>
    <xf numFmtId="167" fontId="2" fillId="0" borderId="1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1" xfId="4" applyNumberFormat="1" applyFont="1" applyFill="1" applyBorder="1"/>
    <xf numFmtId="1" fontId="5" fillId="0" borderId="1" xfId="4" applyNumberFormat="1" applyFont="1" applyFill="1" applyBorder="1" applyAlignment="1">
      <alignment horizontal="center" vertical="center" wrapText="1"/>
    </xf>
    <xf numFmtId="2" fontId="5" fillId="0" borderId="0" xfId="3" applyNumberFormat="1" applyFont="1" applyFill="1"/>
    <xf numFmtId="1" fontId="5" fillId="0" borderId="1" xfId="4" applyNumberFormat="1" applyFont="1" applyFill="1" applyBorder="1" applyAlignment="1">
      <alignment horizontal="center"/>
    </xf>
    <xf numFmtId="10" fontId="5" fillId="0" borderId="0" xfId="3" applyNumberFormat="1" applyFont="1" applyFill="1" applyAlignment="1">
      <alignment horizontal="center" vertical="center"/>
    </xf>
    <xf numFmtId="166" fontId="5" fillId="0" borderId="17" xfId="4" applyNumberFormat="1" applyFont="1" applyFill="1" applyBorder="1"/>
    <xf numFmtId="1" fontId="5" fillId="0" borderId="17" xfId="4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2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0" xfId="3" applyNumberFormat="1" applyFont="1" applyFill="1" applyAlignment="1">
      <alignment horizontal="left"/>
    </xf>
    <xf numFmtId="3" fontId="5" fillId="0" borderId="1" xfId="2" applyNumberFormat="1" applyFont="1" applyFill="1" applyBorder="1" applyAlignment="1">
      <alignment horizontal="center" vertical="center"/>
    </xf>
    <xf numFmtId="3" fontId="5" fillId="0" borderId="1" xfId="2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165" fontId="5" fillId="0" borderId="0" xfId="2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65" fontId="5" fillId="0" borderId="1" xfId="4" applyNumberFormat="1" applyFont="1" applyFill="1" applyBorder="1" applyAlignment="1">
      <alignment horizontal="center"/>
    </xf>
    <xf numFmtId="167" fontId="5" fillId="0" borderId="19" xfId="0" applyNumberFormat="1" applyFont="1" applyFill="1" applyBorder="1" applyAlignment="1">
      <alignment horizontal="center" vertical="center"/>
    </xf>
    <xf numFmtId="167" fontId="5" fillId="0" borderId="10" xfId="0" applyNumberFormat="1" applyFont="1" applyFill="1" applyBorder="1" applyAlignment="1">
      <alignment horizontal="center" vertical="center"/>
    </xf>
    <xf numFmtId="3" fontId="5" fillId="0" borderId="18" xfId="2" applyNumberFormat="1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centerContinuous" vertical="center"/>
    </xf>
    <xf numFmtId="3" fontId="5" fillId="0" borderId="17" xfId="2" applyNumberFormat="1" applyFont="1" applyFill="1" applyBorder="1" applyAlignment="1">
      <alignment horizontal="center" vertical="center"/>
    </xf>
    <xf numFmtId="3" fontId="5" fillId="0" borderId="17" xfId="2" applyNumberFormat="1" applyFont="1" applyFill="1" applyBorder="1" applyAlignment="1">
      <alignment horizontal="left" vertical="center"/>
    </xf>
    <xf numFmtId="3" fontId="5" fillId="0" borderId="8" xfId="2" applyNumberFormat="1" applyFont="1" applyFill="1" applyBorder="1" applyAlignment="1">
      <alignment horizontal="left" vertical="center"/>
    </xf>
    <xf numFmtId="166" fontId="5" fillId="0" borderId="19" xfId="4" applyNumberFormat="1" applyFont="1" applyFill="1" applyBorder="1" applyAlignment="1">
      <alignment horizontal="center"/>
    </xf>
    <xf numFmtId="166" fontId="5" fillId="0" borderId="10" xfId="4" applyNumberFormat="1" applyFont="1" applyFill="1" applyBorder="1"/>
    <xf numFmtId="3" fontId="5" fillId="0" borderId="18" xfId="2" applyNumberFormat="1" applyFont="1" applyFill="1" applyBorder="1" applyAlignment="1">
      <alignment horizontal="center" vertical="center"/>
    </xf>
    <xf numFmtId="166" fontId="24" fillId="0" borderId="6" xfId="4" applyNumberFormat="1" applyFont="1" applyFill="1" applyBorder="1" applyAlignment="1">
      <alignment horizontal="center"/>
    </xf>
    <xf numFmtId="3" fontId="5" fillId="0" borderId="8" xfId="2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Continuous"/>
    </xf>
    <xf numFmtId="0" fontId="0" fillId="0" borderId="26" xfId="0" applyFill="1" applyBorder="1" applyAlignment="1">
      <alignment horizontal="left" indent="1"/>
    </xf>
    <xf numFmtId="0" fontId="9" fillId="0" borderId="0" xfId="0" applyFont="1" applyFill="1" applyAlignment="1">
      <alignment horizontal="centerContinuous"/>
    </xf>
    <xf numFmtId="0" fontId="0" fillId="0" borderId="40" xfId="0" applyFill="1" applyBorder="1" applyAlignment="1">
      <alignment horizontal="left" indent="1"/>
    </xf>
    <xf numFmtId="0" fontId="0" fillId="0" borderId="69" xfId="0" applyFill="1" applyBorder="1" applyAlignment="1">
      <alignment horizontal="left" indent="1"/>
    </xf>
    <xf numFmtId="0" fontId="0" fillId="0" borderId="41" xfId="0" applyFill="1" applyBorder="1" applyAlignment="1">
      <alignment horizontal="left" indent="1"/>
    </xf>
    <xf numFmtId="0" fontId="0" fillId="0" borderId="41" xfId="0" applyFill="1" applyBorder="1" applyAlignment="1">
      <alignment horizontal="left" wrapText="1" indent="1"/>
    </xf>
    <xf numFmtId="0" fontId="0" fillId="0" borderId="40" xfId="0" applyFill="1" applyBorder="1" applyAlignment="1">
      <alignment horizontal="left" vertical="center" indent="1"/>
    </xf>
    <xf numFmtId="181" fontId="0" fillId="0" borderId="26" xfId="0" applyNumberForma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177" fontId="1" fillId="0" borderId="40" xfId="4" applyNumberFormat="1" applyFill="1" applyBorder="1" applyAlignment="1">
      <alignment horizontal="center"/>
    </xf>
    <xf numFmtId="0" fontId="0" fillId="0" borderId="69" xfId="0" applyFill="1" applyBorder="1" applyAlignment="1">
      <alignment horizontal="left" vertical="center" indent="1"/>
    </xf>
    <xf numFmtId="0" fontId="0" fillId="0" borderId="41" xfId="0" applyFill="1" applyBorder="1" applyAlignment="1">
      <alignment horizontal="left" vertical="center" indent="1"/>
    </xf>
    <xf numFmtId="177" fontId="0" fillId="0" borderId="40" xfId="4" applyNumberFormat="1" applyFont="1" applyFill="1" applyBorder="1" applyAlignment="1">
      <alignment horizontal="center"/>
    </xf>
    <xf numFmtId="9" fontId="0" fillId="0" borderId="40" xfId="4" applyNumberFormat="1" applyFont="1" applyFill="1" applyBorder="1" applyAlignment="1">
      <alignment horizontal="center"/>
    </xf>
    <xf numFmtId="9" fontId="0" fillId="0" borderId="27" xfId="4" applyNumberFormat="1" applyFont="1" applyFill="1" applyBorder="1" applyAlignment="1">
      <alignment horizontal="center"/>
    </xf>
    <xf numFmtId="0" fontId="0" fillId="0" borderId="69" xfId="0" applyFill="1" applyBorder="1" applyAlignment="1">
      <alignment horizontal="center" vertical="center"/>
    </xf>
    <xf numFmtId="0" fontId="0" fillId="0" borderId="27" xfId="0" applyFill="1" applyBorder="1" applyAlignment="1">
      <alignment horizontal="left" indent="1"/>
    </xf>
    <xf numFmtId="0" fontId="0" fillId="0" borderId="29" xfId="0" applyFill="1" applyBorder="1" applyAlignment="1">
      <alignment horizontal="center" vertical="center"/>
    </xf>
    <xf numFmtId="0" fontId="0" fillId="0" borderId="28" xfId="0" applyFill="1" applyBorder="1" applyAlignment="1">
      <alignment horizontal="left" indent="1"/>
    </xf>
    <xf numFmtId="182" fontId="3" fillId="0" borderId="40" xfId="0" applyNumberFormat="1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left" indent="1"/>
    </xf>
    <xf numFmtId="0" fontId="0" fillId="0" borderId="34" xfId="0" applyFill="1" applyBorder="1" applyAlignment="1">
      <alignment horizontal="center" vertical="center"/>
    </xf>
    <xf numFmtId="165" fontId="1" fillId="0" borderId="31" xfId="4" applyNumberFormat="1" applyFill="1" applyBorder="1"/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165" fontId="5" fillId="0" borderId="41" xfId="4" applyNumberFormat="1" applyFont="1" applyFill="1" applyBorder="1"/>
    <xf numFmtId="165" fontId="2" fillId="0" borderId="17" xfId="5" applyNumberFormat="1" applyFont="1" applyFill="1" applyBorder="1" applyAlignment="1">
      <alignment vertical="center"/>
    </xf>
    <xf numFmtId="165" fontId="5" fillId="0" borderId="4" xfId="4" applyNumberFormat="1" applyFont="1" applyFill="1" applyBorder="1" applyAlignment="1">
      <alignment horizontal="center" vertical="center"/>
    </xf>
    <xf numFmtId="165" fontId="1" fillId="0" borderId="17" xfId="5" applyNumberFormat="1" applyFill="1" applyBorder="1"/>
    <xf numFmtId="165" fontId="5" fillId="0" borderId="1" xfId="4" applyNumberFormat="1" applyFont="1" applyFill="1" applyBorder="1" applyAlignment="1">
      <alignment horizontal="center" vertical="center"/>
    </xf>
    <xf numFmtId="165" fontId="5" fillId="0" borderId="17" xfId="4" applyNumberFormat="1" applyFont="1" applyFill="1" applyBorder="1" applyAlignment="1">
      <alignment horizontal="center" vertical="center"/>
    </xf>
    <xf numFmtId="165" fontId="1" fillId="0" borderId="1" xfId="5" applyNumberFormat="1" applyFont="1" applyFill="1" applyBorder="1" applyAlignment="1"/>
    <xf numFmtId="165" fontId="1" fillId="0" borderId="17" xfId="5" applyNumberFormat="1" applyFont="1" applyFill="1" applyBorder="1" applyAlignment="1"/>
    <xf numFmtId="165" fontId="2" fillId="0" borderId="1" xfId="5" applyNumberFormat="1" applyFont="1" applyFill="1" applyBorder="1" applyAlignment="1">
      <alignment horizontal="center" vertical="center"/>
    </xf>
    <xf numFmtId="165" fontId="2" fillId="0" borderId="17" xfId="5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left" vertical="center" wrapText="1" indent="1"/>
    </xf>
    <xf numFmtId="0" fontId="0" fillId="0" borderId="29" xfId="0" applyFill="1" applyBorder="1" applyAlignment="1">
      <alignment horizontal="left" vertical="center" wrapText="1" indent="1"/>
    </xf>
    <xf numFmtId="0" fontId="0" fillId="0" borderId="38" xfId="0" applyFill="1" applyBorder="1" applyAlignment="1">
      <alignment horizontal="left" vertical="center" wrapText="1" indent="1"/>
    </xf>
    <xf numFmtId="0" fontId="0" fillId="0" borderId="39" xfId="0" applyFill="1" applyBorder="1" applyAlignment="1">
      <alignment horizontal="left" vertical="center" wrapText="1" indent="1"/>
    </xf>
    <xf numFmtId="0" fontId="18" fillId="0" borderId="27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26" fillId="0" borderId="0" xfId="0" applyFont="1" applyFill="1"/>
  </cellXfs>
  <cellStyles count="7">
    <cellStyle name="Гиперссылка" xfId="1" builtinId="8"/>
    <cellStyle name="Обычный" xfId="0" builtinId="0"/>
    <cellStyle name="Обычный_канаты от МОП(от 17.04.07)" xfId="2"/>
    <cellStyle name="Процентный" xfId="3" builtinId="5"/>
    <cellStyle name="Финансовый" xfId="4" builtinId="3"/>
    <cellStyle name="Финансовый 2" xfId="6"/>
    <cellStyle name="Финансовый_канаты от МОП(от 17.04.07)" xfId="5"/>
  </cellStyles>
  <dxfs count="28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_-* #,##0.0_р_._-;\-* #,##0.0_р_._-;_-* &quot;-&quot;??_р_.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_-* #,##0.0_р_._-;\-* #,##0.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66" formatCode="_-* #,##0.0_р_._-;\-* #,##0.0_р_._-;_-* &quot;-&quot;??_р_.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_-* #,##0.0_р_._-;\-* #,##0.0_р_._-;_-* &quot;-&quot;??_р_.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_-* #,##0.0_р_._-;\-* #,##0.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66" formatCode="_-* #,##0.0_р_._-;\-* #,##0.0_р_._-;_-* &quot;-&quot;??_р_.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Continuous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Continuous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  <numFmt numFmtId="166" formatCode="_-* #,##0.0_р_._-;\-* #,##0.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0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  <numFmt numFmtId="166" formatCode="_-* #,##0.0_р_._-;\-* #,##0.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6" formatCode="_-* #,##0.0_р_._-;\-* #,##0.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6" formatCode="_-* #,##0.0_р_._-;\-* #,##0.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55"/>
        </right>
        <top style="thin">
          <color indexed="55"/>
        </top>
        <bottom style="thin">
          <color indexed="55"/>
        </bottom>
      </border>
    </dxf>
    <dxf>
      <border outline="0">
        <left style="thin">
          <color indexed="55"/>
        </left>
        <right style="thin">
          <color indexed="55"/>
        </right>
        <bottom style="thin">
          <color indexed="55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55"/>
        </right>
        <top style="thin">
          <color indexed="55"/>
        </top>
        <bottom style="thin">
          <color indexed="55"/>
        </bottom>
      </border>
    </dxf>
    <dxf>
      <border outline="0">
        <left style="thin">
          <color indexed="55"/>
        </left>
        <right style="thin">
          <color indexed="55"/>
        </right>
        <bottom style="thin">
          <color indexed="55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left style="thin">
          <color indexed="23"/>
        </left>
        <right style="thin">
          <color indexed="23"/>
        </right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6" formatCode="_-* #,##0.0_р_._-;\-* #,##0.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6" formatCode="_-* #,##0.0_р_._-;\-* #,##0.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23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808080"/>
        </left>
        <right/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border outline="0">
        <top style="thin">
          <color rgb="FF808080"/>
        </top>
      </border>
    </dxf>
    <dxf>
      <border outline="0">
        <left style="thin">
          <color rgb="FF808080"/>
        </left>
        <right style="thin">
          <color rgb="FF808080"/>
        </right>
        <bottom style="thin">
          <color rgb="FF808080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rgb="FF808080"/>
        </bottom>
      </border>
    </dxf>
    <dxf>
      <fill>
        <patternFill patternType="none">
          <fgColor indexed="64"/>
          <bgColor auto="1"/>
        </patternFill>
      </fill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80" formatCode="_-* #,##0.0_ _ ;\-_-* #,##0.0_ _ ;&quot;-&quot;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_р_._-;\-* #,##0_р_._-;_-* &quot;-&quot;??_р_._-;_-@_-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80" formatCode="_-* #,##0.0_ _ ;\-_-* #,##0.0_ _ ;&quot;-&quot;;_(@_)"/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left style="hair">
          <color auto="1"/>
        </left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77" formatCode="#,##0.0000_ ;\-#,##0.000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border outline="0">
        <right style="hair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</dxfs>
  <tableStyles count="0" defaultPivotStyle="PivotStyleLight16"/>
  <colors>
    <mruColors>
      <color rgb="FFCCFFCC"/>
      <color rgb="FF00FFCC"/>
      <color rgb="FF66FF99"/>
      <color rgb="FF66FFCC"/>
      <color rgb="FF00FF99"/>
      <color rgb="FFFFFFCC"/>
      <color rgb="FF99FFCC"/>
      <color rgb="FFFFFF99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352426</xdr:colOff>
      <xdr:row>4</xdr:row>
      <xdr:rowOff>28573</xdr:rowOff>
    </xdr:from>
    <xdr:to>
      <xdr:col>9</xdr:col>
      <xdr:colOff>533400</xdr:colOff>
      <xdr:row>7</xdr:row>
      <xdr:rowOff>85725</xdr:rowOff>
    </xdr:to>
    <xdr:sp macro="" textlink="">
      <xdr:nvSpPr>
        <xdr:cNvPr id="3" name="TextBox 2"/>
        <xdr:cNvSpPr txBox="1"/>
      </xdr:nvSpPr>
      <xdr:spPr>
        <a:xfrm>
          <a:off x="352426" y="676273"/>
          <a:ext cx="5153024" cy="590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ru-RU" sz="2800" b="0">
            <a:solidFill>
              <a:schemeClr val="accent1">
                <a:lumMod val="75000"/>
              </a:schemeClr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latin typeface="Arial Black" panose="020B0A040201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TextBox 1"/>
        <xdr:cNvSpPr txBox="1"/>
      </xdr:nvSpPr>
      <xdr:spPr>
        <a:xfrm>
          <a:off x="552450" y="4857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49</xdr:row>
      <xdr:rowOff>0</xdr:rowOff>
    </xdr:to>
    <xdr:sp macro="" textlink="">
      <xdr:nvSpPr>
        <xdr:cNvPr id="3" name="TextBox 2"/>
        <xdr:cNvSpPr txBox="1"/>
      </xdr:nvSpPr>
      <xdr:spPr>
        <a:xfrm>
          <a:off x="552450" y="79152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4" name="TextBox 3"/>
        <xdr:cNvSpPr txBox="1"/>
      </xdr:nvSpPr>
      <xdr:spPr>
        <a:xfrm>
          <a:off x="552450" y="32289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5" name="TextBox 4"/>
        <xdr:cNvSpPr txBox="1"/>
      </xdr:nvSpPr>
      <xdr:spPr>
        <a:xfrm>
          <a:off x="1200150" y="4857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Ориентир. масса 1000м, кг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6" name="TextBox 5"/>
        <xdr:cNvSpPr txBox="1"/>
      </xdr:nvSpPr>
      <xdr:spPr>
        <a:xfrm>
          <a:off x="1200150" y="32289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Ориентир. масса 1000м, кг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49</xdr:row>
      <xdr:rowOff>0</xdr:rowOff>
    </xdr:to>
    <xdr:sp macro="" textlink="">
      <xdr:nvSpPr>
        <xdr:cNvPr id="7" name="TextBox 6"/>
        <xdr:cNvSpPr txBox="1"/>
      </xdr:nvSpPr>
      <xdr:spPr>
        <a:xfrm>
          <a:off x="1200150" y="79152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Ориентир. масса 1000м, кг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2" name="TextBox 1"/>
        <xdr:cNvSpPr txBox="1"/>
      </xdr:nvSpPr>
      <xdr:spPr>
        <a:xfrm>
          <a:off x="657225" y="485775"/>
          <a:ext cx="65722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2</xdr:col>
      <xdr:colOff>9525</xdr:colOff>
      <xdr:row>30</xdr:row>
      <xdr:rowOff>57150</xdr:rowOff>
    </xdr:to>
    <xdr:sp macro="" textlink="">
      <xdr:nvSpPr>
        <xdr:cNvPr id="4" name="TextBox 3"/>
        <xdr:cNvSpPr txBox="1"/>
      </xdr:nvSpPr>
      <xdr:spPr>
        <a:xfrm>
          <a:off x="657225" y="5286375"/>
          <a:ext cx="65722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5" name="TextBox 4"/>
        <xdr:cNvSpPr txBox="1"/>
      </xdr:nvSpPr>
      <xdr:spPr>
        <a:xfrm>
          <a:off x="1304925" y="4857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Ориентир. масса 1000м, кг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28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7" name="TextBox 6"/>
        <xdr:cNvSpPr txBox="1"/>
      </xdr:nvSpPr>
      <xdr:spPr>
        <a:xfrm>
          <a:off x="1304925" y="52863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Ориентир. масса 1000м, кг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2" name="TextBox 1"/>
        <xdr:cNvSpPr txBox="1"/>
      </xdr:nvSpPr>
      <xdr:spPr>
        <a:xfrm>
          <a:off x="590550" y="485775"/>
          <a:ext cx="65722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3" name="TextBox 2"/>
        <xdr:cNvSpPr txBox="1"/>
      </xdr:nvSpPr>
      <xdr:spPr>
        <a:xfrm>
          <a:off x="1238250" y="4857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Ориентир. масса 1000м, кг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3" name="TextBox 2"/>
        <xdr:cNvSpPr txBox="1"/>
      </xdr:nvSpPr>
      <xdr:spPr>
        <a:xfrm>
          <a:off x="590550" y="485775"/>
          <a:ext cx="65722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9" name="TextBox 8"/>
        <xdr:cNvSpPr txBox="1"/>
      </xdr:nvSpPr>
      <xdr:spPr>
        <a:xfrm>
          <a:off x="1238250" y="4857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Ориентир. масса 1000м, кг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TextBox 1"/>
        <xdr:cNvSpPr txBox="1"/>
      </xdr:nvSpPr>
      <xdr:spPr>
        <a:xfrm>
          <a:off x="590550" y="485775"/>
          <a:ext cx="64770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3" name="TextBox 2"/>
        <xdr:cNvSpPr txBox="1"/>
      </xdr:nvSpPr>
      <xdr:spPr>
        <a:xfrm>
          <a:off x="1238250" y="485775"/>
          <a:ext cx="64770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Ориентир. масса 1000м, кг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TextBox 2"/>
        <xdr:cNvSpPr txBox="1"/>
      </xdr:nvSpPr>
      <xdr:spPr>
        <a:xfrm>
          <a:off x="647700" y="5238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4" name="TextBox 3"/>
        <xdr:cNvSpPr txBox="1"/>
      </xdr:nvSpPr>
      <xdr:spPr>
        <a:xfrm>
          <a:off x="647700" y="26193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5" name="TextBox 4"/>
        <xdr:cNvSpPr txBox="1"/>
      </xdr:nvSpPr>
      <xdr:spPr>
        <a:xfrm>
          <a:off x="1295400" y="5238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Ориентир. масса 1000м, кг</a:t>
          </a:r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6" name="TextBox 5"/>
        <xdr:cNvSpPr txBox="1"/>
      </xdr:nvSpPr>
      <xdr:spPr>
        <a:xfrm>
          <a:off x="1295400" y="26193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Ориентир. масса 1000м, кг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8" name="TextBox 7"/>
        <xdr:cNvSpPr txBox="1"/>
      </xdr:nvSpPr>
      <xdr:spPr>
        <a:xfrm>
          <a:off x="647700" y="6172200"/>
          <a:ext cx="481012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С металлическим сердечником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41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1" name="TextBox 10"/>
        <xdr:cNvSpPr txBox="1"/>
      </xdr:nvSpPr>
      <xdr:spPr>
        <a:xfrm>
          <a:off x="647700" y="7143750"/>
          <a:ext cx="481012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С органическим сердечником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12" name="TextBox 11"/>
        <xdr:cNvSpPr txBox="1"/>
      </xdr:nvSpPr>
      <xdr:spPr>
        <a:xfrm>
          <a:off x="647700" y="9401175"/>
          <a:ext cx="481012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без пластического обжатия (тип 1)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60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3" name="TextBox 12"/>
        <xdr:cNvSpPr txBox="1"/>
      </xdr:nvSpPr>
      <xdr:spPr>
        <a:xfrm>
          <a:off x="647700" y="10372725"/>
          <a:ext cx="481012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с пластическим обжатия (тип 2)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22</xdr:row>
      <xdr:rowOff>19050</xdr:rowOff>
    </xdr:from>
    <xdr:to>
      <xdr:col>2</xdr:col>
      <xdr:colOff>525</xdr:colOff>
      <xdr:row>24</xdr:row>
      <xdr:rowOff>3600</xdr:rowOff>
    </xdr:to>
    <xdr:sp macro="" textlink="">
      <xdr:nvSpPr>
        <xdr:cNvPr id="8" name="TextBox 7"/>
        <xdr:cNvSpPr txBox="1"/>
      </xdr:nvSpPr>
      <xdr:spPr>
        <a:xfrm>
          <a:off x="600075" y="3838575"/>
          <a:ext cx="705375" cy="460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1</xdr:col>
      <xdr:colOff>19050</xdr:colOff>
      <xdr:row>2</xdr:row>
      <xdr:rowOff>19049</xdr:rowOff>
    </xdr:from>
    <xdr:to>
      <xdr:col>2</xdr:col>
      <xdr:colOff>4950</xdr:colOff>
      <xdr:row>4</xdr:row>
      <xdr:rowOff>3599</xdr:rowOff>
    </xdr:to>
    <xdr:sp macro="" textlink="">
      <xdr:nvSpPr>
        <xdr:cNvPr id="4" name="TextBox 3"/>
        <xdr:cNvSpPr txBox="1"/>
      </xdr:nvSpPr>
      <xdr:spPr>
        <a:xfrm>
          <a:off x="609600" y="447674"/>
          <a:ext cx="633600" cy="460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2</xdr:col>
      <xdr:colOff>9525</xdr:colOff>
      <xdr:row>2</xdr:row>
      <xdr:rowOff>19050</xdr:rowOff>
    </xdr:from>
    <xdr:to>
      <xdr:col>3</xdr:col>
      <xdr:colOff>2625</xdr:colOff>
      <xdr:row>4</xdr:row>
      <xdr:rowOff>3600</xdr:rowOff>
    </xdr:to>
    <xdr:sp macro="" textlink="">
      <xdr:nvSpPr>
        <xdr:cNvPr id="5" name="TextBox 4"/>
        <xdr:cNvSpPr txBox="1"/>
      </xdr:nvSpPr>
      <xdr:spPr>
        <a:xfrm>
          <a:off x="1247775" y="447675"/>
          <a:ext cx="640800" cy="460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Ориентир. масса 1000м, кг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0</xdr:colOff>
      <xdr:row>24</xdr:row>
      <xdr:rowOff>0</xdr:rowOff>
    </xdr:to>
    <xdr:sp macro="" textlink="">
      <xdr:nvSpPr>
        <xdr:cNvPr id="9" name="TextBox 8"/>
        <xdr:cNvSpPr txBox="1"/>
      </xdr:nvSpPr>
      <xdr:spPr>
        <a:xfrm>
          <a:off x="1238250" y="381952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Ориентир. масса 1000м, кг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TextBox 1"/>
        <xdr:cNvSpPr txBox="1"/>
      </xdr:nvSpPr>
      <xdr:spPr>
        <a:xfrm>
          <a:off x="533400" y="485775"/>
          <a:ext cx="59055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3" name="TextBox 2"/>
        <xdr:cNvSpPr txBox="1"/>
      </xdr:nvSpPr>
      <xdr:spPr>
        <a:xfrm>
          <a:off x="1123950" y="4857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Ориентир. масса 1000м, кг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TextBox 1"/>
        <xdr:cNvSpPr txBox="1"/>
      </xdr:nvSpPr>
      <xdr:spPr>
        <a:xfrm>
          <a:off x="581025" y="485775"/>
          <a:ext cx="6858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3" name="TextBox 2"/>
        <xdr:cNvSpPr txBox="1"/>
      </xdr:nvSpPr>
      <xdr:spPr>
        <a:xfrm>
          <a:off x="1266825" y="4857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Ориентир. масса 1000м, кг</a:t>
          </a:r>
        </a:p>
      </xdr:txBody>
    </xdr:sp>
    <xdr:clientData/>
  </xdr:twoCellAnchor>
  <xdr:twoCellAnchor>
    <xdr:from>
      <xdr:col>1</xdr:col>
      <xdr:colOff>0</xdr:colOff>
      <xdr:row>42</xdr:row>
      <xdr:rowOff>0</xdr:rowOff>
    </xdr:from>
    <xdr:to>
      <xdr:col>2</xdr:col>
      <xdr:colOff>0</xdr:colOff>
      <xdr:row>44</xdr:row>
      <xdr:rowOff>0</xdr:rowOff>
    </xdr:to>
    <xdr:sp macro="" textlink="">
      <xdr:nvSpPr>
        <xdr:cNvPr id="4" name="TextBox 3"/>
        <xdr:cNvSpPr txBox="1"/>
      </xdr:nvSpPr>
      <xdr:spPr>
        <a:xfrm>
          <a:off x="581025" y="6953250"/>
          <a:ext cx="6858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2</xdr:col>
      <xdr:colOff>0</xdr:colOff>
      <xdr:row>42</xdr:row>
      <xdr:rowOff>0</xdr:rowOff>
    </xdr:from>
    <xdr:to>
      <xdr:col>3</xdr:col>
      <xdr:colOff>0</xdr:colOff>
      <xdr:row>44</xdr:row>
      <xdr:rowOff>0</xdr:rowOff>
    </xdr:to>
    <xdr:sp macro="" textlink="">
      <xdr:nvSpPr>
        <xdr:cNvPr id="5" name="TextBox 4"/>
        <xdr:cNvSpPr txBox="1"/>
      </xdr:nvSpPr>
      <xdr:spPr>
        <a:xfrm>
          <a:off x="1266825" y="6953250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Ориентир. масса 1000м, кг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TextBox 3"/>
        <xdr:cNvSpPr txBox="1"/>
      </xdr:nvSpPr>
      <xdr:spPr>
        <a:xfrm>
          <a:off x="504825" y="485775"/>
          <a:ext cx="6858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1</xdr:col>
      <xdr:colOff>0</xdr:colOff>
      <xdr:row>39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5" name="TextBox 4"/>
        <xdr:cNvSpPr txBox="1"/>
      </xdr:nvSpPr>
      <xdr:spPr>
        <a:xfrm>
          <a:off x="504825" y="7248525"/>
          <a:ext cx="6858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1</xdr:col>
      <xdr:colOff>0</xdr:colOff>
      <xdr:row>64</xdr:row>
      <xdr:rowOff>0</xdr:rowOff>
    </xdr:from>
    <xdr:to>
      <xdr:col>2</xdr:col>
      <xdr:colOff>0</xdr:colOff>
      <xdr:row>66</xdr:row>
      <xdr:rowOff>0</xdr:rowOff>
    </xdr:to>
    <xdr:sp macro="" textlink="">
      <xdr:nvSpPr>
        <xdr:cNvPr id="6" name="TextBox 5"/>
        <xdr:cNvSpPr txBox="1"/>
      </xdr:nvSpPr>
      <xdr:spPr>
        <a:xfrm>
          <a:off x="504825" y="11382375"/>
          <a:ext cx="6858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7" name="TextBox 6"/>
        <xdr:cNvSpPr txBox="1"/>
      </xdr:nvSpPr>
      <xdr:spPr>
        <a:xfrm>
          <a:off x="1190625" y="4857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Ориентир. масса 1000м, кг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0</xdr:colOff>
      <xdr:row>41</xdr:row>
      <xdr:rowOff>0</xdr:rowOff>
    </xdr:to>
    <xdr:sp macro="" textlink="">
      <xdr:nvSpPr>
        <xdr:cNvPr id="8" name="TextBox 7"/>
        <xdr:cNvSpPr txBox="1"/>
      </xdr:nvSpPr>
      <xdr:spPr>
        <a:xfrm>
          <a:off x="1190625" y="724852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Ориентир. масса 1000м, кг</a:t>
          </a:r>
        </a:p>
      </xdr:txBody>
    </xdr:sp>
    <xdr:clientData/>
  </xdr:twoCellAnchor>
  <xdr:twoCellAnchor>
    <xdr:from>
      <xdr:col>2</xdr:col>
      <xdr:colOff>0</xdr:colOff>
      <xdr:row>64</xdr:row>
      <xdr:rowOff>0</xdr:rowOff>
    </xdr:from>
    <xdr:to>
      <xdr:col>3</xdr:col>
      <xdr:colOff>0</xdr:colOff>
      <xdr:row>66</xdr:row>
      <xdr:rowOff>0</xdr:rowOff>
    </xdr:to>
    <xdr:sp macro="" textlink="">
      <xdr:nvSpPr>
        <xdr:cNvPr id="9" name="TextBox 8"/>
        <xdr:cNvSpPr txBox="1"/>
      </xdr:nvSpPr>
      <xdr:spPr>
        <a:xfrm>
          <a:off x="1190625" y="113823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Ориентир. масса 1000м, кг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5" name="TextBox 4"/>
        <xdr:cNvSpPr txBox="1"/>
      </xdr:nvSpPr>
      <xdr:spPr>
        <a:xfrm>
          <a:off x="590550" y="4857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2</xdr:col>
      <xdr:colOff>0</xdr:colOff>
      <xdr:row>39</xdr:row>
      <xdr:rowOff>0</xdr:rowOff>
    </xdr:to>
    <xdr:sp macro="" textlink="">
      <xdr:nvSpPr>
        <xdr:cNvPr id="6" name="TextBox 5"/>
        <xdr:cNvSpPr txBox="1"/>
      </xdr:nvSpPr>
      <xdr:spPr>
        <a:xfrm>
          <a:off x="590550" y="70008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7" name="TextBox 6"/>
        <xdr:cNvSpPr txBox="1"/>
      </xdr:nvSpPr>
      <xdr:spPr>
        <a:xfrm>
          <a:off x="590550" y="1052512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8" name="TextBox 7"/>
        <xdr:cNvSpPr txBox="1"/>
      </xdr:nvSpPr>
      <xdr:spPr>
        <a:xfrm>
          <a:off x="1238250" y="4857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Ориентир. масса 1000м, кг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" name="TextBox 8"/>
        <xdr:cNvSpPr txBox="1"/>
      </xdr:nvSpPr>
      <xdr:spPr>
        <a:xfrm>
          <a:off x="1238250" y="70008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Ориентир. масса 1000м, кг</a:t>
          </a:r>
        </a:p>
      </xdr:txBody>
    </xdr:sp>
    <xdr:clientData/>
  </xdr:twoCellAnchor>
  <xdr:twoCellAnchor>
    <xdr:from>
      <xdr:col>2</xdr:col>
      <xdr:colOff>0</xdr:colOff>
      <xdr:row>55</xdr:row>
      <xdr:rowOff>0</xdr:rowOff>
    </xdr:from>
    <xdr:to>
      <xdr:col>3</xdr:col>
      <xdr:colOff>0</xdr:colOff>
      <xdr:row>57</xdr:row>
      <xdr:rowOff>0</xdr:rowOff>
    </xdr:to>
    <xdr:sp macro="" textlink="">
      <xdr:nvSpPr>
        <xdr:cNvPr id="10" name="TextBox 9"/>
        <xdr:cNvSpPr txBox="1"/>
      </xdr:nvSpPr>
      <xdr:spPr>
        <a:xfrm>
          <a:off x="1238250" y="1052512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Ориентир. масса 1000м, кг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3</xdr:row>
      <xdr:rowOff>19051</xdr:rowOff>
    </xdr:from>
    <xdr:to>
      <xdr:col>2</xdr:col>
      <xdr:colOff>7274</xdr:colOff>
      <xdr:row>5</xdr:row>
      <xdr:rowOff>1</xdr:rowOff>
    </xdr:to>
    <xdr:sp macro="" textlink="">
      <xdr:nvSpPr>
        <xdr:cNvPr id="2" name="TextBox 1"/>
        <xdr:cNvSpPr txBox="1"/>
      </xdr:nvSpPr>
      <xdr:spPr>
        <a:xfrm>
          <a:off x="619124" y="504826"/>
          <a:ext cx="6264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n>
                <a:noFill/>
              </a:ln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6" name="TextBox 5"/>
        <xdr:cNvSpPr txBox="1"/>
      </xdr:nvSpPr>
      <xdr:spPr>
        <a:xfrm>
          <a:off x="1238250" y="485775"/>
          <a:ext cx="714375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Ориентир. масса 1000м, кг</a:t>
          </a:r>
          <a:endParaRPr lang="ru-RU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ru-RU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" name="TextBox 7"/>
        <xdr:cNvSpPr txBox="1"/>
      </xdr:nvSpPr>
      <xdr:spPr>
        <a:xfrm>
          <a:off x="752475" y="485775"/>
          <a:ext cx="73342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9" name="TextBox 8"/>
        <xdr:cNvSpPr txBox="1"/>
      </xdr:nvSpPr>
      <xdr:spPr>
        <a:xfrm>
          <a:off x="1400175" y="485775"/>
          <a:ext cx="79057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Ориентир. масса 1000м, кг</a:t>
          </a:r>
          <a:endParaRPr lang="ru-RU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ru-RU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TextBox 1"/>
        <xdr:cNvSpPr txBox="1"/>
      </xdr:nvSpPr>
      <xdr:spPr>
        <a:xfrm>
          <a:off x="590550" y="4857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" name="TextBox 2"/>
        <xdr:cNvSpPr txBox="1"/>
      </xdr:nvSpPr>
      <xdr:spPr>
        <a:xfrm>
          <a:off x="590550" y="51720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Диаметр, мм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6" name="TextBox 5"/>
        <xdr:cNvSpPr txBox="1"/>
      </xdr:nvSpPr>
      <xdr:spPr>
        <a:xfrm>
          <a:off x="1238250" y="4857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Ориентир. масса 1000м, кг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31</xdr:row>
      <xdr:rowOff>0</xdr:rowOff>
    </xdr:from>
    <xdr:to>
      <xdr:col>3</xdr:col>
      <xdr:colOff>0</xdr:colOff>
      <xdr:row>33</xdr:row>
      <xdr:rowOff>0</xdr:rowOff>
    </xdr:to>
    <xdr:sp macro="" textlink="">
      <xdr:nvSpPr>
        <xdr:cNvPr id="7" name="TextBox 6"/>
        <xdr:cNvSpPr txBox="1"/>
      </xdr:nvSpPr>
      <xdr:spPr>
        <a:xfrm>
          <a:off x="1238250" y="5172075"/>
          <a:ext cx="6477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Ориентир. масса 1000м, кг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38" name="приплаты" displayName="приплаты" ref="A10:E24" totalsRowShown="0" headerRowDxfId="280" tableBorderDxfId="279">
  <autoFilter ref="A10:E24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index" dataDxfId="278"/>
    <tableColumn id="2" name="Покрытие" dataDxfId="277"/>
    <tableColumn id="3" name="Группа оцинкования" dataDxfId="276"/>
    <tableColumn id="4" name="Назначение" dataDxfId="275"/>
    <tableColumn id="5" name="приплата" dataDxfId="274" dataCellStyle="Финансовый"/>
  </tableColumns>
  <tableStyleInfo showFirstColumn="0" showLastColumn="0" showRowStripes="0" showColumnStripes="0"/>
</table>
</file>

<file path=xl/tables/table10.xml><?xml version="1.0" encoding="utf-8"?>
<table xmlns="http://schemas.openxmlformats.org/spreadsheetml/2006/main" id="12" name="кГ3069" displayName="кГ3069" ref="B5:G33" totalsRowShown="0" headerRowDxfId="195" dataDxfId="194" tableBorderDxfId="193" dataCellStyle="Финансовый">
  <autoFilter ref="B5:G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192"/>
    <tableColumn id="2" name="Вес, кг" dataDxfId="191"/>
    <tableColumn id="3" name="Цена/км б/п" dataDxfId="190" dataCellStyle="Финансовый"/>
    <tableColumn id="4" name="Цена/км оц" dataDxfId="189" dataCellStyle="Финансовый"/>
    <tableColumn id="5" name="Цена/тн б/п" dataDxfId="188" dataCellStyle="Финансовый">
      <calculatedColumnFormula>D6/C6*1000</calculatedColumnFormula>
    </tableColumn>
    <tableColumn id="6" name="Цена/тн оц" dataDxfId="187" dataCellStyle="Финансовый">
      <calculatedColumnFormula>E6/C6*1000</calculatedColumnFormula>
    </tableColumn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id="13" name="кГ3070" displayName="кГ3070" ref="B39:G51" totalsRowShown="0" headerRowDxfId="186" dataDxfId="185" tableBorderDxfId="184" dataCellStyle="Финансовый">
  <autoFilter ref="B39:G5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183"/>
    <tableColumn id="2" name="Вес, кг" dataDxfId="182"/>
    <tableColumn id="3" name="Цена/км б/п" dataDxfId="181" dataCellStyle="Финансовый"/>
    <tableColumn id="4" name="Цена/км оц" dataDxfId="180" dataCellStyle="Финансовый"/>
    <tableColumn id="5" name="Цена/тн б/п" dataDxfId="179" dataCellStyle="Финансовый">
      <calculatedColumnFormula>D40/C40*1000</calculatedColumnFormula>
    </tableColumn>
    <tableColumn id="6" name="Цена/тн оц" dataDxfId="178" dataCellStyle="Финансовый">
      <calculatedColumnFormula>E40/C40*1000</calculatedColumnFormula>
    </tableColumn>
  </tableColumns>
  <tableStyleInfo showFirstColumn="0" showLastColumn="0" showRowStripes="0" showColumnStripes="0"/>
</table>
</file>

<file path=xl/tables/table12.xml><?xml version="1.0" encoding="utf-8"?>
<table xmlns="http://schemas.openxmlformats.org/spreadsheetml/2006/main" id="14" name="кГ3071" displayName="кГ3071" ref="B57:G68" totalsRowShown="0" headerRowDxfId="177" dataDxfId="176" tableBorderDxfId="175" dataCellStyle="Финансовый">
  <autoFilter ref="B57:G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174"/>
    <tableColumn id="2" name="Вес, кг" dataDxfId="173"/>
    <tableColumn id="3" name="Цена/км б/п" dataDxfId="172" dataCellStyle="Финансовый"/>
    <tableColumn id="4" name="Цена/км оц" dataDxfId="171" dataCellStyle="Финансовый"/>
    <tableColumn id="5" name="Цена/тн б/п" dataDxfId="170" dataCellStyle="Финансовый">
      <calculatedColumnFormula>D58/C58*1000</calculatedColumnFormula>
    </tableColumn>
    <tableColumn id="6" name="Цена/тн оц" dataDxfId="169" dataCellStyle="Финансовый">
      <calculatedColumnFormula>E58/C58*1000</calculatedColumnFormula>
    </tableColumn>
  </tableColumns>
  <tableStyleInfo showFirstColumn="0" showLastColumn="0" showRowStripes="0" showColumnStripes="0"/>
</table>
</file>

<file path=xl/tables/table13.xml><?xml version="1.0" encoding="utf-8"?>
<table xmlns="http://schemas.openxmlformats.org/spreadsheetml/2006/main" id="1" name="кГ3077" displayName="кГ3077" ref="B5:G35" totalsRowShown="0" headerRowDxfId="168" dataDxfId="167" tableBorderDxfId="166">
  <autoFilter ref="B5:G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165"/>
    <tableColumn id="2" name="Вес, кг" dataDxfId="164"/>
    <tableColumn id="3" name="Цена/км б/п" dataDxfId="163" dataCellStyle="Финансовый_канаты от МОП(от 17.04.07)"/>
    <tableColumn id="4" name="Цена/км оц" dataDxfId="162" dataCellStyle="Финансовый_канаты от МОП(от 17.04.07)"/>
    <tableColumn id="5" name="Цена/тн б/п" dataDxfId="161" dataCellStyle="Финансовый">
      <calculatedColumnFormula>D6/C6*1000</calculatedColumnFormula>
    </tableColumn>
    <tableColumn id="6" name="Цена/тн оц" dataDxfId="160" dataCellStyle="Финансовый">
      <calculatedColumnFormula>E6/C6*1000</calculatedColumnFormula>
    </tableColumn>
  </tableColumns>
  <tableStyleInfo showFirstColumn="0" showLastColumn="0" showRowStripes="0" showColumnStripes="0"/>
</table>
</file>

<file path=xl/tables/table14.xml><?xml version="1.0" encoding="utf-8"?>
<table xmlns="http://schemas.openxmlformats.org/spreadsheetml/2006/main" id="6" name="кГ3079" displayName="кГ3079" ref="B5:G30" totalsRowShown="0" headerRowDxfId="159" dataDxfId="158">
  <autoFilter ref="B5:G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157"/>
    <tableColumn id="2" name="Вес, кг" dataDxfId="156"/>
    <tableColumn id="3" name="Цена/км б/п" dataDxfId="155" dataCellStyle="Финансовый"/>
    <tableColumn id="4" name="Цена/км оц" dataDxfId="154" dataCellStyle="Финансовый"/>
    <tableColumn id="5" name="Цена/тн б/п" dataDxfId="153" dataCellStyle="Финансовый">
      <calculatedColumnFormula>D6/C6*1000</calculatedColumnFormula>
    </tableColumn>
    <tableColumn id="6" name="Цена/тн оц" dataDxfId="152" dataCellStyle="Финансовый">
      <calculatedColumnFormula>E6/C6*1000</calculatedColumnFormula>
    </tableColumn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id="15" name="кГ3081" displayName="кГ3081" ref="B5:G27" totalsRowShown="0" headerRowDxfId="151" dataDxfId="150" tableBorderDxfId="149">
  <autoFilter ref="B5:G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148"/>
    <tableColumn id="2" name="Вес, кг" dataDxfId="147"/>
    <tableColumn id="3" name="Цена/км б/п" dataDxfId="146" dataCellStyle="Финансовый"/>
    <tableColumn id="4" name="Цена/км оц" dataDxfId="145" dataCellStyle="Финансовый"/>
    <tableColumn id="5" name="Цена/тн б/п" dataDxfId="144" dataCellStyle="Финансовый">
      <calculatedColumnFormula>D6/C6*1000</calculatedColumnFormula>
    </tableColumn>
    <tableColumn id="6" name="Цена/тн оц" dataDxfId="143" dataCellStyle="Финансовый">
      <calculatedColumnFormula>E6/C6*1000</calculatedColumnFormula>
    </tableColumn>
  </tableColumns>
  <tableStyleInfo showFirstColumn="0" showLastColumn="0" showRowStripes="0" showColumnStripes="0"/>
</table>
</file>

<file path=xl/tables/table16.xml><?xml version="1.0" encoding="utf-8"?>
<table xmlns="http://schemas.openxmlformats.org/spreadsheetml/2006/main" id="16" name="кГ3083" displayName="кГ3083" ref="B33:G55" totalsRowShown="0" headerRowDxfId="142" dataDxfId="141" tableBorderDxfId="140">
  <autoFilter ref="B33:G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139"/>
    <tableColumn id="2" name="Вес, кг" dataDxfId="138"/>
    <tableColumn id="3" name="Цена/км б/п" dataDxfId="137" dataCellStyle="Финансовый"/>
    <tableColumn id="4" name="Цена/км оц" dataDxfId="136" dataCellStyle="Финансовый"/>
    <tableColumn id="5" name="Цена/тн б/п" dataDxfId="135" dataCellStyle="Финансовый">
      <calculatedColumnFormula>D34/C34*1000</calculatedColumnFormula>
    </tableColumn>
    <tableColumn id="6" name="Цена/тн оц" dataDxfId="134" dataCellStyle="Финансовый">
      <calculatedColumnFormula>E34/C34*1000</calculatedColumnFormula>
    </tableColumn>
  </tableColumns>
  <tableStyleInfo showFirstColumn="0" showLastColumn="0" showRowStripes="0" showColumnStripes="0"/>
</table>
</file>

<file path=xl/tables/table17.xml><?xml version="1.0" encoding="utf-8"?>
<table xmlns="http://schemas.openxmlformats.org/spreadsheetml/2006/main" id="17" name="кГ3085" displayName="кГ3085" ref="B5:G15" totalsRowShown="0" headerRowDxfId="133" dataDxfId="132" tableBorderDxfId="131">
  <autoFilter ref="B5:G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130" dataCellStyle="Финансовый"/>
    <tableColumn id="2" name="Вес, кг" dataDxfId="129" dataCellStyle="Финансовый"/>
    <tableColumn id="3" name="Цена/км б/п" dataDxfId="128" dataCellStyle="Финансовый_канаты от МОП(от 17.04.07)"/>
    <tableColumn id="4" name="Цена/км оц" dataDxfId="127" dataCellStyle="Финансовый_канаты от МОП(от 17.04.07)"/>
    <tableColumn id="5" name="Цена/тн б/п" dataDxfId="126" dataCellStyle="Финансовый">
      <calculatedColumnFormula>D6/C6*1000</calculatedColumnFormula>
    </tableColumn>
    <tableColumn id="6" name="Цена/тн оц" dataDxfId="125" dataCellStyle="Финансовый">
      <calculatedColumnFormula>E6/C6*1000</calculatedColumnFormula>
    </tableColumn>
  </tableColumns>
  <tableStyleInfo showFirstColumn="0" showLastColumn="0" showRowStripes="0" showColumnStripes="0"/>
</table>
</file>

<file path=xl/tables/table18.xml><?xml version="1.0" encoding="utf-8"?>
<table xmlns="http://schemas.openxmlformats.org/spreadsheetml/2006/main" id="18" name="кГ3088" displayName="кГ3088" ref="B21:G42" totalsRowShown="0" headerRowDxfId="124" dataDxfId="123" tableBorderDxfId="122">
  <autoFilter ref="B21:G4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121" dataCellStyle="Финансовый"/>
    <tableColumn id="2" name="Вес, кг" dataDxfId="120" dataCellStyle="Финансовый"/>
    <tableColumn id="3" name="Цена/км б/п" dataDxfId="119" dataCellStyle="Финансовый_канаты от МОП(от 17.04.07)"/>
    <tableColumn id="4" name="Цена/км оц" dataDxfId="118" dataCellStyle="Финансовый_канаты от МОП(от 17.04.07)"/>
    <tableColumn id="5" name="Цена/тн б/п" dataDxfId="117" dataCellStyle="Финансовый">
      <calculatedColumnFormula>D22/C22*1000</calculatedColumnFormula>
    </tableColumn>
    <tableColumn id="6" name="Цена/тн оц" dataDxfId="116" dataCellStyle="Финансовый">
      <calculatedColumnFormula>E22/C22*1000</calculatedColumnFormula>
    </tableColumn>
  </tableColumns>
  <tableStyleInfo showFirstColumn="0" showLastColumn="0" showRowStripes="0" showColumnStripes="0"/>
</table>
</file>

<file path=xl/tables/table19.xml><?xml version="1.0" encoding="utf-8"?>
<table xmlns="http://schemas.openxmlformats.org/spreadsheetml/2006/main" id="19" name="кГ3089" displayName="кГ3089" ref="B49:G67" totalsRowShown="0" headerRowDxfId="115" dataDxfId="114" tableBorderDxfId="113">
  <autoFilter ref="B49:G6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112"/>
    <tableColumn id="2" name="Вес, кг" dataDxfId="111" dataCellStyle="Финансовый"/>
    <tableColumn id="3" name="Цена/км б/п" dataDxfId="110" dataCellStyle="Финансовый_канаты от МОП(от 17.04.07)"/>
    <tableColumn id="4" name="Цена/км оц" dataDxfId="109" dataCellStyle="Финансовый_канаты от МОП(от 17.04.07)"/>
    <tableColumn id="5" name="Цена/тн б/п" dataDxfId="108" dataCellStyle="Финансовый">
      <calculatedColumnFormula>D50/C50*1000</calculatedColumnFormula>
    </tableColumn>
    <tableColumn id="6" name="Цена/тн оц" dataDxfId="107" dataCellStyle="Финансовый">
      <calculatedColumnFormula>E50/C50*1000</calculatedColumnFormula>
    </tableColumn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4" name="кГ2172" displayName="кГ2172" ref="B4:G18" totalsRowShown="0" headerRowDxfId="273" dataDxfId="272" tableBorderDxfId="271" dataCellStyle="Финансовый">
  <autoFilter ref="B4:G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270"/>
    <tableColumn id="2" name="Вес, кг" dataDxfId="269" dataCellStyle="Финансовый"/>
    <tableColumn id="3" name="Цена/км б/п" dataDxfId="268" dataCellStyle="Финансовый"/>
    <tableColumn id="4" name="Цена/км оц" dataDxfId="267" dataCellStyle="Финансовый"/>
    <tableColumn id="5" name="Цена/тн б/п" dataDxfId="266" dataCellStyle="Финансовый"/>
    <tableColumn id="6" name="Цена/тн оц" dataDxfId="265" dataCellStyle="Финансовый">
      <calculatedColumnFormula>E5/C5*1000</calculatedColumnFormula>
    </tableColumn>
  </tableColumns>
  <tableStyleInfo showFirstColumn="0" showLastColumn="0" showRowStripes="0" showColumnStripes="0"/>
</table>
</file>

<file path=xl/tables/table20.xml><?xml version="1.0" encoding="utf-8"?>
<table xmlns="http://schemas.openxmlformats.org/spreadsheetml/2006/main" id="20" name="кГ7665" displayName="кГ7665" ref="B5:G24" totalsRowShown="0" headerRowDxfId="106" dataDxfId="105" tableBorderDxfId="104">
  <autoFilter ref="B5:G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103"/>
    <tableColumn id="2" name="Вес, кг" dataDxfId="102"/>
    <tableColumn id="3" name="Цена/км б/п" dataDxfId="101" dataCellStyle="Финансовый"/>
    <tableColumn id="4" name="Цена/км оц" dataDxfId="100" dataCellStyle="Финансовый"/>
    <tableColumn id="5" name="Цена/тн б/п" dataDxfId="99" dataCellStyle="Финансовый">
      <calculatedColumnFormula>D6/C6*1000</calculatedColumnFormula>
    </tableColumn>
    <tableColumn id="6" name="Цена/тн оц" dataDxfId="98" dataCellStyle="Финансовый">
      <calculatedColumnFormula>E6/C6*1000</calculatedColumnFormula>
    </tableColumn>
  </tableColumns>
  <tableStyleInfo showFirstColumn="0" showLastColumn="0" showRowStripes="0" showColumnStripes="0"/>
</table>
</file>

<file path=xl/tables/table21.xml><?xml version="1.0" encoding="utf-8"?>
<table xmlns="http://schemas.openxmlformats.org/spreadsheetml/2006/main" id="21" name="кГ7667" displayName="кГ7667" ref="B30:G49" totalsRowShown="0" headerRowDxfId="97" dataDxfId="96" tableBorderDxfId="95">
  <autoFilter ref="B30:G4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94"/>
    <tableColumn id="2" name="Вес, кг" dataDxfId="93"/>
    <tableColumn id="3" name="Цена/км б/п" dataDxfId="92" dataCellStyle="Финансовый"/>
    <tableColumn id="4" name="Цена/км оц" dataDxfId="91" dataCellStyle="Финансовый"/>
    <tableColumn id="5" name="Цена/тн б/п" dataDxfId="90" dataCellStyle="Финансовый">
      <calculatedColumnFormula>D31/C31*1000</calculatedColumnFormula>
    </tableColumn>
    <tableColumn id="6" name="Цена/тн оц" dataDxfId="89" dataCellStyle="Финансовый">
      <calculatedColumnFormula>E31/C31*1000</calculatedColumnFormula>
    </tableColumn>
  </tableColumns>
  <tableStyleInfo showFirstColumn="0" showLastColumn="0" showRowStripes="0" showColumnStripes="0"/>
</table>
</file>

<file path=xl/tables/table22.xml><?xml version="1.0" encoding="utf-8"?>
<table xmlns="http://schemas.openxmlformats.org/spreadsheetml/2006/main" id="22" name="кГ7668" displayName="кГ7668" ref="B5:G39" totalsRowShown="0" headerRowDxfId="88" dataDxfId="87" tableBorderDxfId="86">
  <autoFilter ref="B5:G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85"/>
    <tableColumn id="2" name="Вес, кг" dataDxfId="84"/>
    <tableColumn id="3" name="Цена/км б/п" dataDxfId="83" dataCellStyle="Финансовый_канаты от МОП(от 17.04.07)"/>
    <tableColumn id="4" name="Цена/км оц" dataDxfId="82" dataCellStyle="Финансовый_канаты от МОП(от 17.04.07)"/>
    <tableColumn id="5" name="Цена/тн б/п" dataDxfId="81" dataCellStyle="Финансовый">
      <calculatedColumnFormula>D6/C6*1000</calculatedColumnFormula>
    </tableColumn>
    <tableColumn id="6" name="Цена/тн оц" dataDxfId="80" dataCellStyle="Финансовый">
      <calculatedColumnFormula>E6/C6*1000</calculatedColumnFormula>
    </tableColumn>
  </tableColumns>
  <tableStyleInfo showFirstColumn="0" showLastColumn="0" showRowStripes="0" showColumnStripes="0"/>
</table>
</file>

<file path=xl/tables/table23.xml><?xml version="1.0" encoding="utf-8"?>
<table xmlns="http://schemas.openxmlformats.org/spreadsheetml/2006/main" id="23" name="кГ7669" displayName="кГ7669" ref="B5:G33" totalsRowShown="0" headerRowDxfId="79" dataDxfId="78" tableBorderDxfId="77">
  <autoFilter ref="B5:G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76"/>
    <tableColumn id="2" name="Вес, кг" dataDxfId="75"/>
    <tableColumn id="3" name="Цена/км б/п" dataDxfId="74" dataCellStyle="Финансовый"/>
    <tableColumn id="4" name="Цена/км оц" dataDxfId="73" dataCellStyle="Финансовый"/>
    <tableColumn id="5" name="Цена/тн б/п" dataDxfId="72" dataCellStyle="Финансовый">
      <calculatedColumnFormula>D6/C6*1000</calculatedColumnFormula>
    </tableColumn>
    <tableColumn id="6" name="Цена/тн оц" dataDxfId="71" dataCellStyle="Финансовый">
      <calculatedColumnFormula>E6/C6*1000</calculatedColumnFormula>
    </tableColumn>
  </tableColumns>
  <tableStyleInfo showFirstColumn="0" showLastColumn="0" showRowStripes="0" showColumnStripes="0"/>
</table>
</file>

<file path=xl/tables/table24.xml><?xml version="1.0" encoding="utf-8"?>
<table xmlns="http://schemas.openxmlformats.org/spreadsheetml/2006/main" id="11" name="кГ14954" displayName="кГ14954" ref="B5:G33" totalsRowShown="0" headerRowDxfId="70" dataDxfId="69" tableBorderDxfId="68">
  <autoFilter ref="B5:G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67"/>
    <tableColumn id="2" name="Вес, кг" dataDxfId="66"/>
    <tableColumn id="3" name="Цена/км б/п" dataDxfId="65" dataCellStyle="Финансовый_канаты от МОП(от 17.04.07)"/>
    <tableColumn id="4" name="Цена/км оц" dataDxfId="64" dataCellStyle="Финансовый_канаты от МОП(от 17.04.07)"/>
    <tableColumn id="5" name="Цена/тн б/п" dataDxfId="63" dataCellStyle="Финансовый">
      <calculatedColumnFormula>D6/C6*1000</calculatedColumnFormula>
    </tableColumn>
    <tableColumn id="6" name="Цена/тн оц" dataDxfId="62" dataCellStyle="Финансовый">
      <calculatedColumnFormula>E6/C6*1000</calculatedColumnFormula>
    </tableColumn>
  </tableColumns>
  <tableStyleInfo showFirstColumn="0" showLastColumn="0" showRowStripes="0" showColumnStripes="0"/>
</table>
</file>

<file path=xl/tables/table25.xml><?xml version="1.0" encoding="utf-8"?>
<table xmlns="http://schemas.openxmlformats.org/spreadsheetml/2006/main" id="28" name="кГ16827" displayName="кГ16827" ref="B5:G11" totalsRowShown="0" headerRowDxfId="61" dataDxfId="60" tableBorderDxfId="59">
  <autoFilter ref="B5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58" dataCellStyle="Финансовый"/>
    <tableColumn id="2" name="Вес, кг" dataDxfId="57" dataCellStyle="Финансовый"/>
    <tableColumn id="3" name="Цена/км б/п" dataDxfId="56" dataCellStyle="Финансовый"/>
    <tableColumn id="4" name="Цена/км оц" dataDxfId="55" dataCellStyle="Финансовый"/>
    <tableColumn id="5" name="Цена/тн б/п" dataDxfId="54" dataCellStyle="Финансовый">
      <calculatedColumnFormula>D6/C6*1000</calculatedColumnFormula>
    </tableColumn>
    <tableColumn id="6" name="Цена/тн оц" dataDxfId="53" dataCellStyle="Финансовый"/>
  </tableColumns>
  <tableStyleInfo showFirstColumn="0" showLastColumn="0" showRowStripes="0" showColumnStripes="0"/>
</table>
</file>

<file path=xl/tables/table26.xml><?xml version="1.0" encoding="utf-8"?>
<table xmlns="http://schemas.openxmlformats.org/spreadsheetml/2006/main" id="29" name="кГ16828" displayName="кГ16828" ref="B17:G28" totalsRowShown="0" headerRowDxfId="52" dataDxfId="51" tableBorderDxfId="50">
  <autoFilter ref="B17:G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49" dataCellStyle="Финансовый"/>
    <tableColumn id="2" name="Вес, кг" dataDxfId="48" dataCellStyle="Финансовый"/>
    <tableColumn id="3" name="Цена/км б/п" dataDxfId="47" dataCellStyle="Финансовый"/>
    <tableColumn id="4" name="Цена/км оц" dataDxfId="46" dataCellStyle="Финансовый"/>
    <tableColumn id="5" name="Цена/тн б/п" dataDxfId="45" dataCellStyle="Финансовый">
      <calculatedColumnFormula>D18/C18*1000</calculatedColumnFormula>
    </tableColumn>
    <tableColumn id="6" name="Цена/тн оц" dataDxfId="44" dataCellStyle="Финансовый">
      <calculatedColumnFormula>E18/C18*1000</calculatedColumnFormula>
    </tableColumn>
  </tableColumns>
  <tableStyleInfo showFirstColumn="0" showLastColumn="0" showRowStripes="0" showColumnStripes="0"/>
</table>
</file>

<file path=xl/tables/table27.xml><?xml version="1.0" encoding="utf-8"?>
<table xmlns="http://schemas.openxmlformats.org/spreadsheetml/2006/main" id="30" name="кГ16853МС" displayName="кГ16853МС" ref="B36:G41" totalsRowShown="0" headerRowDxfId="43" dataDxfId="41" headerRowBorderDxfId="42" tableBorderDxfId="40" totalsRowBorderDxfId="39">
  <autoFilter ref="B36:G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38"/>
    <tableColumn id="2" name="Вес, кг" dataDxfId="37"/>
    <tableColumn id="3" name="Цена/км б/п" dataDxfId="36" dataCellStyle="Обычный_канаты от МОП(от 17.04.07)"/>
    <tableColumn id="4" name="Цена/км оц" dataDxfId="35" dataCellStyle="Обычный_канаты от МОП(от 17.04.07)"/>
    <tableColumn id="5" name="Цена/тн б/п" dataDxfId="34" dataCellStyle="Обычный_канаты от МОП(от 17.04.07)">
      <calculatedColumnFormula>D37/C37*1000</calculatedColumnFormula>
    </tableColumn>
    <tableColumn id="6" name="Цена/тн оц" dataDxfId="33" dataCellStyle="Обычный_канаты от МОП(от 17.04.07)"/>
  </tableColumns>
  <tableStyleInfo showFirstColumn="0" showLastColumn="0" showRowStripes="0" showColumnStripes="0"/>
</table>
</file>

<file path=xl/tables/table28.xml><?xml version="1.0" encoding="utf-8"?>
<table xmlns="http://schemas.openxmlformats.org/spreadsheetml/2006/main" id="31" name="кГ16853ОС" displayName="кГ16853ОС" ref="B42:G47" totalsRowShown="0" headerRowDxfId="32" dataDxfId="30" headerRowBorderDxfId="31" tableBorderDxfId="29" totalsRowBorderDxfId="28">
  <autoFilter ref="B42:G4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27"/>
    <tableColumn id="2" name="Вес, кг" dataDxfId="26"/>
    <tableColumn id="3" name="Цена/км б/п" dataDxfId="25" dataCellStyle="Обычный_канаты от МОП(от 17.04.07)"/>
    <tableColumn id="4" name="Цена/км оц" dataDxfId="24" dataCellStyle="Обычный_канаты от МОП(от 17.04.07)"/>
    <tableColumn id="5" name="Цена/тн б/п" dataDxfId="23" dataCellStyle="Обычный_канаты от МОП(от 17.04.07)">
      <calculatedColumnFormula>D43/C43*1000</calculatedColumnFormula>
    </tableColumn>
    <tableColumn id="6" name="Цена/тн оц" dataDxfId="22" dataCellStyle="Обычный_канаты от МОП(от 17.04.07)"/>
  </tableColumns>
  <tableStyleInfo showFirstColumn="0" showLastColumn="0" showRowStripes="0" showColumnStripes="0"/>
</table>
</file>

<file path=xl/tables/table29.xml><?xml version="1.0" encoding="utf-8"?>
<table xmlns="http://schemas.openxmlformats.org/spreadsheetml/2006/main" id="32" name="кТУ049И1" displayName="кТУ049И1" ref="B55:G60" totalsRowShown="0" headerRowDxfId="21" dataDxfId="19" headerRowBorderDxfId="20" tableBorderDxfId="18" totalsRowBorderDxfId="17" headerRowCellStyle="Финансовый" dataCellStyle="Обычный_канаты от МОП(от 17.04.07)">
  <autoFilter ref="B55:G6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16" dataCellStyle="Финансовый"/>
    <tableColumn id="2" name="Вес, кг" dataDxfId="15" dataCellStyle="Финансовый"/>
    <tableColumn id="3" name="Цена/км б/п" dataDxfId="14" dataCellStyle="Обычный_канаты от МОП(от 17.04.07)"/>
    <tableColumn id="4" name="Цена/км оц" dataDxfId="13" dataCellStyle="Обычный_канаты от МОП(от 17.04.07)"/>
    <tableColumn id="5" name="Цена/тн б/п" dataDxfId="12" dataCellStyle="Обычный_канаты от МОП(от 17.04.07)">
      <calculatedColumnFormula>D56/C56*1000</calculatedColumnFormula>
    </tableColumn>
    <tableColumn id="6" name="Цена/тн оц" dataDxfId="11" dataCellStyle="Обычный_канаты от МОП(от 17.04.07)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id="5" name="кГ2688" displayName="кГ2688" ref="B24:G61" totalsRowShown="0" headerRowDxfId="264" dataDxfId="263" tableBorderDxfId="262" dataCellStyle="Финансовый">
  <autoFilter ref="B24:G6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261"/>
    <tableColumn id="2" name="Вес, кг" dataDxfId="260" dataCellStyle="Финансовый"/>
    <tableColumn id="3" name="Цена/км б/п" dataDxfId="259" dataCellStyle="Финансовый"/>
    <tableColumn id="4" name="Цена/км оц" dataDxfId="258" dataCellStyle="Финансовый"/>
    <tableColumn id="5" name="Цена/тн б/п" dataDxfId="257" dataCellStyle="Финансовый">
      <calculatedColumnFormula>D25/C25*1000</calculatedColumnFormula>
    </tableColumn>
    <tableColumn id="6" name="Цена/тн оц" dataDxfId="256" dataCellStyle="Финансовый">
      <calculatedColumnFormula>E25/C25*1000</calculatedColumnFormula>
    </tableColumn>
  </tableColumns>
  <tableStyleInfo showFirstColumn="0" showLastColumn="0" showRowStripes="0" showColumnStripes="0"/>
</table>
</file>

<file path=xl/tables/table30.xml><?xml version="1.0" encoding="utf-8"?>
<table xmlns="http://schemas.openxmlformats.org/spreadsheetml/2006/main" id="33" name="кТУ049И2" displayName="кТУ049И2" ref="B61:G66" totalsRowShown="0" headerRowDxfId="10" dataDxfId="8" headerRowBorderDxfId="9" tableBorderDxfId="7" totalsRowBorderDxfId="6" headerRowCellStyle="Финансовый" dataCellStyle="Обычный_канаты от МОП(от 17.04.07)">
  <autoFilter ref="B61:G6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5" dataCellStyle="Финансовый"/>
    <tableColumn id="2" name="Вес, кг" dataDxfId="4" dataCellStyle="Финансовый"/>
    <tableColumn id="3" name="Цена/км б/п" dataDxfId="3" dataCellStyle="Обычный_канаты от МОП(от 17.04.07)"/>
    <tableColumn id="4" name="Цена/км оц" dataDxfId="2" dataCellStyle="Обычный_канаты от МОП(от 17.04.07)"/>
    <tableColumn id="5" name="Цена/тн б/п" dataDxfId="1" dataCellStyle="Обычный_канаты от МОП(от 17.04.07)">
      <calculatedColumnFormula>D62/C62*1000</calculatedColumnFormula>
    </tableColumn>
    <tableColumn id="6" name="Цена/тн оц" dataDxfId="0" dataCellStyle="Обычный_канаты от МОП(от 17.04.07)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id="7" name="кГ3062" displayName="кГ3062" ref="B5:G38" totalsRowShown="0" headerRowDxfId="255" dataDxfId="253" headerRowBorderDxfId="254" tableBorderDxfId="252" totalsRowBorderDxfId="251" dataCellStyle="Финансовый">
  <autoFilter ref="B5:G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250"/>
    <tableColumn id="2" name="Вес, кг" dataDxfId="249"/>
    <tableColumn id="3" name="Цена/км б/п" dataDxfId="248" dataCellStyle="Финансовый"/>
    <tableColumn id="4" name="Цена/км оц" dataDxfId="247" dataCellStyle="Финансовый"/>
    <tableColumn id="5" name="Цена/тн б/п" dataDxfId="246" dataCellStyle="Финансовый">
      <calculatedColumnFormula>D6/C6*1000</calculatedColumnFormula>
    </tableColumn>
    <tableColumn id="6" name="Цена/тн оц" dataDxfId="245" dataCellStyle="Финансовый">
      <calculatedColumnFormula>E6/C6*1000</calculatedColumnFormula>
    </tableColumn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id="2" name="кГ3063" displayName="кГ3063" ref="B5:G38" totalsRowShown="0" headerRowDxfId="244" dataDxfId="242" headerRowBorderDxfId="243" tableBorderDxfId="241" totalsRowBorderDxfId="240">
  <autoFilter ref="B5:G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239"/>
    <tableColumn id="2" name="Вес, кг" dataDxfId="238"/>
    <tableColumn id="3" name="Цена/км б/п" dataDxfId="237" dataCellStyle="Финансовый"/>
    <tableColumn id="4" name="Цена/км оц" dataDxfId="236" dataCellStyle="Финансовый"/>
    <tableColumn id="5" name="Цена/тн б/п" dataDxfId="235" dataCellStyle="Финансовый_канаты от МОП(от 17.04.07)">
      <calculatedColumnFormula>D6/C6*1000</calculatedColumnFormula>
    </tableColumn>
    <tableColumn id="6" name="Цена/тн оц" dataDxfId="234" dataCellStyle="Финансовый_канаты от МОП(от 17.04.07)">
      <calculatedColumnFormula>E6/C6*1000</calculatedColumnFormula>
    </tableColumn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id="3" name="кГ3064" displayName="кГ3064" ref="B44:G74" totalsRowShown="0" headerRowDxfId="233" dataDxfId="231" headerRowBorderDxfId="232" tableBorderDxfId="230" totalsRowBorderDxfId="229" dataCellStyle="Финансовый">
  <autoFilter ref="B44:G7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228"/>
    <tableColumn id="2" name="Вес, кг" dataDxfId="227"/>
    <tableColumn id="3" name="Цена/км б/п" dataDxfId="226" dataCellStyle="Финансовый"/>
    <tableColumn id="4" name="Цена/км оц" dataDxfId="225" dataCellStyle="Финансовый"/>
    <tableColumn id="5" name="Цена/тн б/п" dataDxfId="224" dataCellStyle="Финансовый">
      <calculatedColumnFormula>D45/C45*1000</calculatedColumnFormula>
    </tableColumn>
    <tableColumn id="6" name="Цена/тн оц" dataDxfId="223" dataCellStyle="Финансовый">
      <calculatedColumnFormula>E45/C45*1000</calculatedColumnFormula>
    </tableColumn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id="8" name="кГ3066" displayName="кГ3066" ref="B5:G35" totalsRowShown="0" headerRowDxfId="222" dataDxfId="221" tableBorderDxfId="220" dataCellStyle="Финансовый">
  <autoFilter ref="B5:G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219"/>
    <tableColumn id="2" name="Вес, кг" dataDxfId="218"/>
    <tableColumn id="3" name="Цена/км б/п" dataDxfId="217" dataCellStyle="Финансовый"/>
    <tableColumn id="4" name="Цена/км оц" dataDxfId="216" dataCellStyle="Финансовый"/>
    <tableColumn id="5" name="Цена/тн б/п" dataDxfId="215" dataCellStyle="Финансовый">
      <calculatedColumnFormula>D6/C6*1000</calculatedColumnFormula>
    </tableColumn>
    <tableColumn id="6" name="Цена/тн оц" dataDxfId="214" dataCellStyle="Финансовый">
      <calculatedColumnFormula>E6/C6*1000</calculatedColumnFormula>
    </tableColumn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id="9" name="кГ3067" displayName="кГ3067" ref="B41:G60" totalsRowShown="0" headerRowDxfId="213" dataDxfId="212" tableBorderDxfId="211" dataCellStyle="Финансовый">
  <autoFilter ref="B41:G6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210"/>
    <tableColumn id="2" name="Вес, кг" dataDxfId="209"/>
    <tableColumn id="3" name="Цена/км б/п" dataDxfId="208" dataCellStyle="Финансовый"/>
    <tableColumn id="4" name="Цена/км оц" dataDxfId="207" dataCellStyle="Финансовый"/>
    <tableColumn id="5" name="Цена/тн б/п" dataDxfId="206" dataCellStyle="Финансовый">
      <calculatedColumnFormula>D42/C42*1000</calculatedColumnFormula>
    </tableColumn>
    <tableColumn id="6" name="Цена/тн оц" dataDxfId="205" dataCellStyle="Финансовый">
      <calculatedColumnFormula>E42/C42*1000</calculatedColumnFormula>
    </tableColumn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id="10" name="кГ3068" displayName="кГ3068" ref="B66:G76" totalsRowShown="0" headerRowDxfId="204" dataDxfId="203" tableBorderDxfId="202" dataCellStyle="Финансовый">
  <autoFilter ref="B66:G7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Диаметр" dataDxfId="201" dataCellStyle="Финансовый"/>
    <tableColumn id="2" name="Вес, кг" dataDxfId="200" dataCellStyle="Финансовый"/>
    <tableColumn id="3" name="Цена/км б/п" dataDxfId="199" dataCellStyle="Финансовый"/>
    <tableColumn id="4" name="Цена/км оц" dataDxfId="198" dataCellStyle="Финансовый"/>
    <tableColumn id="5" name="Цена/тн б/п" dataDxfId="197" dataCellStyle="Финансовый">
      <calculatedColumnFormula>D67/C67*1000</calculatedColumnFormula>
    </tableColumn>
    <tableColumn id="6" name="Цена/тн оц" dataDxfId="196" dataCellStyle="Финансовый">
      <calculatedColumnFormula>E67/C67*1000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table" Target="../tables/table1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5" Type="http://schemas.openxmlformats.org/officeDocument/2006/relationships/table" Target="../tables/table19.xml"/><Relationship Id="rId4" Type="http://schemas.openxmlformats.org/officeDocument/2006/relationships/table" Target="../tables/table18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2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0.xml"/><Relationship Id="rId3" Type="http://schemas.openxmlformats.org/officeDocument/2006/relationships/table" Target="../tables/table25.xml"/><Relationship Id="rId7" Type="http://schemas.openxmlformats.org/officeDocument/2006/relationships/table" Target="../tables/table29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6" Type="http://schemas.openxmlformats.org/officeDocument/2006/relationships/table" Target="../tables/table28.xml"/><Relationship Id="rId5" Type="http://schemas.openxmlformats.org/officeDocument/2006/relationships/table" Target="../tables/table27.xml"/><Relationship Id="rId4" Type="http://schemas.openxmlformats.org/officeDocument/2006/relationships/table" Target="../tables/table2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autoPageBreaks="0"/>
  </sheetPr>
  <dimension ref="A1:J41"/>
  <sheetViews>
    <sheetView showGridLines="0" showRowColHeaders="0" tabSelected="1" zoomScaleNormal="100" zoomScaleSheetLayoutView="100" workbookViewId="0">
      <selection activeCell="H29" sqref="H29"/>
    </sheetView>
  </sheetViews>
  <sheetFormatPr defaultColWidth="0" defaultRowHeight="12.75" zeroHeight="1" x14ac:dyDescent="0.2"/>
  <cols>
    <col min="1" max="10" width="8.28515625" style="8" customWidth="1"/>
    <col min="11" max="11" width="9.140625" style="8" hidden="1" customWidth="1"/>
    <col min="12" max="16384" width="9.140625" style="8" hidden="1"/>
  </cols>
  <sheetData>
    <row r="1" spans="3:10" x14ac:dyDescent="0.2"/>
    <row r="2" spans="3:10" x14ac:dyDescent="0.2"/>
    <row r="3" spans="3:10" x14ac:dyDescent="0.2"/>
    <row r="4" spans="3:10" x14ac:dyDescent="0.2"/>
    <row r="5" spans="3:10" x14ac:dyDescent="0.2"/>
    <row r="6" spans="3:10" x14ac:dyDescent="0.2"/>
    <row r="7" spans="3:10" ht="16.5" x14ac:dyDescent="0.25">
      <c r="G7" s="84"/>
      <c r="H7" s="84"/>
    </row>
    <row r="8" spans="3:10" ht="15" x14ac:dyDescent="0.2">
      <c r="G8" s="85"/>
      <c r="I8" s="85"/>
      <c r="J8" s="85"/>
    </row>
    <row r="9" spans="3:10" ht="15" x14ac:dyDescent="0.2">
      <c r="G9" s="85"/>
      <c r="I9" s="85"/>
      <c r="J9" s="85"/>
    </row>
    <row r="10" spans="3:10" ht="15" x14ac:dyDescent="0.2">
      <c r="H10" s="85"/>
      <c r="I10" s="85"/>
      <c r="J10" s="85"/>
    </row>
    <row r="11" spans="3:10" ht="33.75" x14ac:dyDescent="0.5">
      <c r="C11" s="456" t="s">
        <v>237</v>
      </c>
      <c r="G11" s="85"/>
      <c r="H11" s="85"/>
      <c r="I11" s="85"/>
      <c r="J11" s="86"/>
    </row>
    <row r="12" spans="3:10" ht="15" x14ac:dyDescent="0.2">
      <c r="G12" s="85"/>
      <c r="H12" s="85"/>
      <c r="I12" s="85"/>
      <c r="J12" s="85"/>
    </row>
    <row r="13" spans="3:10" ht="15" x14ac:dyDescent="0.2">
      <c r="G13" s="85"/>
      <c r="H13" s="87"/>
      <c r="I13" s="88"/>
      <c r="J13" s="85"/>
    </row>
    <row r="14" spans="3:10" x14ac:dyDescent="0.2"/>
    <row r="15" spans="3:10" x14ac:dyDescent="0.2"/>
    <row r="16" spans="3:10" x14ac:dyDescent="0.2"/>
    <row r="17" spans="1:10" x14ac:dyDescent="0.2"/>
    <row r="18" spans="1:10" x14ac:dyDescent="0.2"/>
    <row r="19" spans="1:10" x14ac:dyDescent="0.2"/>
    <row r="20" spans="1:10" x14ac:dyDescent="0.2">
      <c r="C20" s="13"/>
      <c r="D20" s="13"/>
      <c r="E20" s="13"/>
      <c r="F20" s="13"/>
      <c r="G20" s="13"/>
      <c r="H20" s="13"/>
      <c r="I20" s="13"/>
    </row>
    <row r="21" spans="1:10" ht="27.75" x14ac:dyDescent="0.4">
      <c r="C21" s="13"/>
      <c r="D21" s="13"/>
      <c r="E21" s="13"/>
      <c r="F21" s="89"/>
      <c r="G21" s="13"/>
      <c r="H21" s="13"/>
      <c r="I21" s="13"/>
    </row>
    <row r="22" spans="1:10" ht="20.25" x14ac:dyDescent="0.3">
      <c r="A22" s="382" t="s">
        <v>150</v>
      </c>
      <c r="B22" s="382"/>
      <c r="C22" s="382"/>
      <c r="D22" s="382"/>
      <c r="E22" s="382"/>
      <c r="F22" s="382"/>
      <c r="G22" s="382"/>
      <c r="H22" s="382"/>
      <c r="I22" s="382"/>
      <c r="J22" s="382"/>
    </row>
    <row r="23" spans="1:10" ht="20.25" x14ac:dyDescent="0.3">
      <c r="A23" s="382" t="s">
        <v>235</v>
      </c>
      <c r="B23" s="382"/>
      <c r="C23" s="382"/>
      <c r="D23" s="382"/>
      <c r="E23" s="382"/>
      <c r="F23" s="382"/>
      <c r="G23" s="382"/>
      <c r="H23" s="382"/>
      <c r="I23" s="382"/>
      <c r="J23" s="382"/>
    </row>
    <row r="24" spans="1:10" x14ac:dyDescent="0.2">
      <c r="C24" s="13"/>
      <c r="D24" s="13"/>
      <c r="E24" s="13"/>
      <c r="G24" s="13"/>
      <c r="H24" s="13"/>
      <c r="I24" s="13"/>
    </row>
    <row r="25" spans="1:10" x14ac:dyDescent="0.2">
      <c r="C25" s="90"/>
      <c r="D25" s="13"/>
      <c r="E25" s="13"/>
      <c r="G25" s="13"/>
      <c r="H25" s="13"/>
      <c r="I25" s="13"/>
    </row>
    <row r="26" spans="1:10" x14ac:dyDescent="0.2">
      <c r="E26" s="20"/>
    </row>
    <row r="27" spans="1:10" x14ac:dyDescent="0.2">
      <c r="E27" s="20"/>
    </row>
    <row r="28" spans="1:10" x14ac:dyDescent="0.2"/>
    <row r="29" spans="1:10" x14ac:dyDescent="0.2"/>
    <row r="30" spans="1:10" x14ac:dyDescent="0.2"/>
    <row r="31" spans="1:10" x14ac:dyDescent="0.2"/>
    <row r="32" spans="1:10" x14ac:dyDescent="0.2"/>
    <row r="33" spans="8:8" x14ac:dyDescent="0.2">
      <c r="H33" s="8" t="s">
        <v>238</v>
      </c>
    </row>
    <row r="34" spans="8:8" x14ac:dyDescent="0.2">
      <c r="H34" s="8" t="s">
        <v>239</v>
      </c>
    </row>
    <row r="35" spans="8:8" x14ac:dyDescent="0.2">
      <c r="H35" s="8" t="s">
        <v>240</v>
      </c>
    </row>
    <row r="36" spans="8:8" x14ac:dyDescent="0.2"/>
    <row r="37" spans="8:8" x14ac:dyDescent="0.2"/>
    <row r="38" spans="8:8" hidden="1" x14ac:dyDescent="0.2"/>
    <row r="39" spans="8:8" hidden="1" x14ac:dyDescent="0.2"/>
    <row r="40" spans="8:8" hidden="1" x14ac:dyDescent="0.2"/>
    <row r="41" spans="8:8" hidden="1" x14ac:dyDescent="0.2"/>
  </sheetData>
  <phoneticPr fontId="0" type="noConversion"/>
  <printOptions horizontalCentered="1"/>
  <pageMargins left="0.70866141732283472" right="0.74803149606299213" top="0.94488188976377963" bottom="0.59055118110236227" header="0.43307086614173229" footer="0.39370078740157483"/>
  <pageSetup paperSize="9" scale="94"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H30"/>
  <sheetViews>
    <sheetView showGridLines="0" showRowColHeaders="0" view="pageBreakPreview" topLeftCell="A13" zoomScaleNormal="75" zoomScaleSheetLayoutView="100" workbookViewId="0">
      <selection activeCell="M19" sqref="M19"/>
    </sheetView>
  </sheetViews>
  <sheetFormatPr defaultColWidth="8.85546875" defaultRowHeight="12.75" x14ac:dyDescent="0.2"/>
  <cols>
    <col min="1" max="1" width="9.7109375" style="8" customWidth="1"/>
    <col min="2" max="3" width="9.7109375" style="1" customWidth="1"/>
    <col min="4" max="7" width="12.7109375" style="1" customWidth="1"/>
    <col min="8" max="8" width="10.7109375" style="1" bestFit="1" customWidth="1"/>
    <col min="9" max="16384" width="8.85546875" style="1"/>
  </cols>
  <sheetData>
    <row r="1" spans="1:8" x14ac:dyDescent="0.2">
      <c r="G1" s="145">
        <v>43435</v>
      </c>
      <c r="H1" s="10" t="s">
        <v>114</v>
      </c>
    </row>
    <row r="2" spans="1:8" x14ac:dyDescent="0.2">
      <c r="B2" s="60" t="s">
        <v>27</v>
      </c>
      <c r="C2" s="61"/>
      <c r="D2" s="61"/>
      <c r="E2" s="62"/>
      <c r="F2" s="444" t="s">
        <v>26</v>
      </c>
      <c r="G2" s="445"/>
      <c r="H2" s="8"/>
    </row>
    <row r="3" spans="1:8" x14ac:dyDescent="0.2">
      <c r="B3" s="63" t="s">
        <v>28</v>
      </c>
      <c r="C3" s="64"/>
      <c r="D3" s="64"/>
      <c r="E3" s="65"/>
      <c r="F3" s="446"/>
      <c r="G3" s="447"/>
      <c r="H3" s="8"/>
    </row>
    <row r="4" spans="1:8" ht="24.75" customHeight="1" x14ac:dyDescent="0.2">
      <c r="B4" s="187"/>
      <c r="C4" s="267"/>
      <c r="D4" s="188" t="s">
        <v>197</v>
      </c>
      <c r="E4" s="189"/>
      <c r="F4" s="191" t="s">
        <v>198</v>
      </c>
      <c r="G4" s="190"/>
      <c r="H4" s="8"/>
    </row>
    <row r="5" spans="1:8" x14ac:dyDescent="0.2">
      <c r="A5" s="26"/>
      <c r="B5" s="138" t="s">
        <v>196</v>
      </c>
      <c r="C5" s="138" t="s">
        <v>195</v>
      </c>
      <c r="D5" s="192" t="s">
        <v>191</v>
      </c>
      <c r="E5" s="193" t="s">
        <v>192</v>
      </c>
      <c r="F5" s="192" t="s">
        <v>193</v>
      </c>
      <c r="G5" s="194" t="s">
        <v>194</v>
      </c>
      <c r="H5" s="8"/>
    </row>
    <row r="6" spans="1:8" x14ac:dyDescent="0.2">
      <c r="A6" s="32"/>
      <c r="B6" s="58">
        <v>5.8</v>
      </c>
      <c r="C6" s="58">
        <v>124</v>
      </c>
      <c r="D6" s="51">
        <f>ROUND(34698.77*1.03,2)</f>
        <v>35739.730000000003</v>
      </c>
      <c r="E6" s="51">
        <f>ROUND(41500.22*1.03,2)</f>
        <v>42745.23</v>
      </c>
      <c r="F6" s="59">
        <f t="shared" ref="F6:F30" si="0">D6/C6*1000</f>
        <v>288223.62903225806</v>
      </c>
      <c r="G6" s="59">
        <f t="shared" ref="G6:G30" si="1">E6/C6*1000</f>
        <v>344719.59677419357</v>
      </c>
      <c r="H6" s="37"/>
    </row>
    <row r="7" spans="1:8" x14ac:dyDescent="0.2">
      <c r="A7" s="25"/>
      <c r="B7" s="58">
        <v>6.5</v>
      </c>
      <c r="C7" s="58">
        <v>157</v>
      </c>
      <c r="D7" s="51">
        <f>ROUND(41956.59*1.03,2)</f>
        <v>43215.29</v>
      </c>
      <c r="E7" s="51">
        <f>ROUND(48552.48*1.03,2)</f>
        <v>50009.05</v>
      </c>
      <c r="F7" s="59">
        <f t="shared" si="0"/>
        <v>275256.62420382164</v>
      </c>
      <c r="G7" s="59">
        <f t="shared" si="1"/>
        <v>318528.98089171975</v>
      </c>
      <c r="H7" s="37"/>
    </row>
    <row r="8" spans="1:8" x14ac:dyDescent="0.2">
      <c r="A8" s="25"/>
      <c r="B8" s="58">
        <v>8.5</v>
      </c>
      <c r="C8" s="58">
        <v>269</v>
      </c>
      <c r="D8" s="51">
        <f>ROUND(52922.22*1.03,2)</f>
        <v>54509.89</v>
      </c>
      <c r="E8" s="51">
        <f>ROUND(72108.23*1.03,2)</f>
        <v>74271.48</v>
      </c>
      <c r="F8" s="59">
        <f t="shared" si="0"/>
        <v>202638.99628252786</v>
      </c>
      <c r="G8" s="59">
        <f t="shared" si="1"/>
        <v>276102.15613382898</v>
      </c>
      <c r="H8" s="37"/>
    </row>
    <row r="9" spans="1:8" x14ac:dyDescent="0.2">
      <c r="A9" s="25"/>
      <c r="B9" s="58">
        <v>11.5</v>
      </c>
      <c r="C9" s="58">
        <v>468</v>
      </c>
      <c r="D9" s="51">
        <f>ROUND(67372.35*1.03,2)</f>
        <v>69393.52</v>
      </c>
      <c r="E9" s="51">
        <f>ROUND(92392.03*1.03,2)</f>
        <v>95163.79</v>
      </c>
      <c r="F9" s="59">
        <f t="shared" si="0"/>
        <v>148276.75213675215</v>
      </c>
      <c r="G9" s="59">
        <f t="shared" si="1"/>
        <v>203341.43162393162</v>
      </c>
      <c r="H9" s="37"/>
    </row>
    <row r="10" spans="1:8" x14ac:dyDescent="0.2">
      <c r="A10" s="25"/>
      <c r="B10" s="58">
        <v>13.5</v>
      </c>
      <c r="C10" s="58">
        <v>662.5</v>
      </c>
      <c r="D10" s="51">
        <f>ROUND(87104.53*1.03,2)</f>
        <v>89717.67</v>
      </c>
      <c r="E10" s="51">
        <f>ROUND(119094.33*1.03,2)</f>
        <v>122667.16</v>
      </c>
      <c r="F10" s="59">
        <f t="shared" si="0"/>
        <v>135422.89811320754</v>
      </c>
      <c r="G10" s="59">
        <f t="shared" si="1"/>
        <v>185157.97735849058</v>
      </c>
      <c r="H10" s="37"/>
    </row>
    <row r="11" spans="1:8" x14ac:dyDescent="0.2">
      <c r="A11" s="25"/>
      <c r="B11" s="58">
        <v>15.5</v>
      </c>
      <c r="C11" s="58">
        <v>851.5</v>
      </c>
      <c r="D11" s="51">
        <f>ROUND(109876.38*1.03,2)</f>
        <v>113172.67</v>
      </c>
      <c r="E11" s="51">
        <f>ROUND(149467.51*1.03,2)</f>
        <v>153951.54</v>
      </c>
      <c r="F11" s="59">
        <f t="shared" si="0"/>
        <v>132909.77099236642</v>
      </c>
      <c r="G11" s="59">
        <f t="shared" si="1"/>
        <v>180800.39929536113</v>
      </c>
      <c r="H11" s="37"/>
    </row>
    <row r="12" spans="1:8" x14ac:dyDescent="0.2">
      <c r="A12" s="25"/>
      <c r="B12" s="58">
        <v>17</v>
      </c>
      <c r="C12" s="94">
        <v>1065</v>
      </c>
      <c r="D12" s="51">
        <f>ROUND(137984.91*1.03,2)</f>
        <v>142124.46</v>
      </c>
      <c r="E12" s="51">
        <f>ROUND(187648.18*1.03,2)</f>
        <v>193277.63</v>
      </c>
      <c r="F12" s="59">
        <f t="shared" si="0"/>
        <v>133450.19718309859</v>
      </c>
      <c r="G12" s="59">
        <f t="shared" si="1"/>
        <v>181481.34272300469</v>
      </c>
      <c r="H12" s="37"/>
    </row>
    <row r="13" spans="1:8" x14ac:dyDescent="0.2">
      <c r="A13" s="25"/>
      <c r="B13" s="58">
        <v>19.5</v>
      </c>
      <c r="C13" s="94">
        <v>1350</v>
      </c>
      <c r="D13" s="51">
        <f>ROUND(163091.02*1.03,2)</f>
        <v>167983.75</v>
      </c>
      <c r="E13" s="51">
        <f>ROUND(221779.69*1.03,2)</f>
        <v>228433.08</v>
      </c>
      <c r="F13" s="59">
        <f t="shared" si="0"/>
        <v>124432.40740740742</v>
      </c>
      <c r="G13" s="59">
        <f t="shared" si="1"/>
        <v>169209.68888888886</v>
      </c>
      <c r="H13" s="37"/>
    </row>
    <row r="14" spans="1:8" x14ac:dyDescent="0.2">
      <c r="A14" s="25"/>
      <c r="B14" s="58">
        <v>21.5</v>
      </c>
      <c r="C14" s="94">
        <v>1670</v>
      </c>
      <c r="D14" s="51">
        <f>ROUND(190365.18*1.03,2)</f>
        <v>196076.14</v>
      </c>
      <c r="E14" s="51">
        <f>ROUND(258984.11*1.03,2)</f>
        <v>266753.63</v>
      </c>
      <c r="F14" s="59">
        <f t="shared" si="0"/>
        <v>117410.86227544911</v>
      </c>
      <c r="G14" s="59">
        <f t="shared" si="1"/>
        <v>159732.7125748503</v>
      </c>
      <c r="H14" s="37"/>
    </row>
    <row r="15" spans="1:8" x14ac:dyDescent="0.2">
      <c r="A15" s="25"/>
      <c r="B15" s="58">
        <v>23</v>
      </c>
      <c r="C15" s="94">
        <v>1930</v>
      </c>
      <c r="D15" s="51">
        <f>ROUND(214837.35*1.03,2)</f>
        <v>221282.47</v>
      </c>
      <c r="E15" s="51">
        <f>ROUND(292283.63*1.03,2)</f>
        <v>301052.14</v>
      </c>
      <c r="F15" s="59">
        <f t="shared" si="0"/>
        <v>114654.12953367876</v>
      </c>
      <c r="G15" s="59">
        <f t="shared" si="1"/>
        <v>155985.56476683938</v>
      </c>
      <c r="H15" s="37"/>
    </row>
    <row r="16" spans="1:8" x14ac:dyDescent="0.2">
      <c r="A16" s="32"/>
      <c r="B16" s="58">
        <v>25</v>
      </c>
      <c r="C16" s="94">
        <v>2245</v>
      </c>
      <c r="D16" s="51">
        <f>ROUND(246890.94*1.03,2)</f>
        <v>254297.67</v>
      </c>
      <c r="E16" s="51">
        <f>ROUND(339621.3*1.03,2)</f>
        <v>349809.94</v>
      </c>
      <c r="F16" s="59">
        <f t="shared" si="0"/>
        <v>113272.90423162584</v>
      </c>
      <c r="G16" s="59">
        <f t="shared" si="1"/>
        <v>155817.3452115813</v>
      </c>
      <c r="H16" s="37"/>
    </row>
    <row r="17" spans="1:8" x14ac:dyDescent="0.2">
      <c r="A17" s="32"/>
      <c r="B17" s="58">
        <v>27</v>
      </c>
      <c r="C17" s="94">
        <v>2650</v>
      </c>
      <c r="D17" s="51">
        <f>ROUND(289975.82*1.03,2)</f>
        <v>298675.09000000003</v>
      </c>
      <c r="E17" s="51">
        <f>ROUND(394461.77*1.03,2)</f>
        <v>406295.62</v>
      </c>
      <c r="F17" s="59">
        <f t="shared" si="0"/>
        <v>112707.58113207547</v>
      </c>
      <c r="G17" s="59">
        <f t="shared" si="1"/>
        <v>153319.10188679246</v>
      </c>
      <c r="H17" s="37"/>
    </row>
    <row r="18" spans="1:8" x14ac:dyDescent="0.2">
      <c r="A18" s="32"/>
      <c r="B18" s="58">
        <v>29</v>
      </c>
      <c r="C18" s="94">
        <v>3015</v>
      </c>
      <c r="D18" s="51">
        <f>ROUND(326831.38*1.03,2)</f>
        <v>336636.32</v>
      </c>
      <c r="E18" s="51">
        <f>ROUND(444619.55*1.03,2)</f>
        <v>457958.14</v>
      </c>
      <c r="F18" s="59">
        <f t="shared" si="0"/>
        <v>111653.83747927033</v>
      </c>
      <c r="G18" s="59">
        <f t="shared" si="1"/>
        <v>151893.24709784411</v>
      </c>
      <c r="H18" s="37"/>
    </row>
    <row r="19" spans="1:8" x14ac:dyDescent="0.2">
      <c r="A19" s="32"/>
      <c r="B19" s="58">
        <v>30.5</v>
      </c>
      <c r="C19" s="94">
        <v>3405</v>
      </c>
      <c r="D19" s="51">
        <f>ROUND(368197.6*1.03,2)</f>
        <v>379243.53</v>
      </c>
      <c r="E19" s="51">
        <f>ROUND(500650.22*1.03,2)</f>
        <v>515669.73</v>
      </c>
      <c r="F19" s="59">
        <f t="shared" si="0"/>
        <v>111378.422907489</v>
      </c>
      <c r="G19" s="59">
        <f t="shared" si="1"/>
        <v>151444.85462555065</v>
      </c>
      <c r="H19" s="37"/>
    </row>
    <row r="20" spans="1:8" x14ac:dyDescent="0.2">
      <c r="A20" s="32"/>
      <c r="B20" s="58">
        <v>33</v>
      </c>
      <c r="C20" s="94">
        <v>3905</v>
      </c>
      <c r="D20" s="51">
        <f>ROUND(419796.53*1.03,2)</f>
        <v>432390.43</v>
      </c>
      <c r="E20" s="51">
        <f>ROUND(570780.44*1.03,2)</f>
        <v>587903.85</v>
      </c>
      <c r="F20" s="59">
        <f t="shared" si="0"/>
        <v>110727.3828425096</v>
      </c>
      <c r="G20" s="59">
        <f t="shared" si="1"/>
        <v>150551.56209987195</v>
      </c>
      <c r="H20" s="37"/>
    </row>
    <row r="21" spans="1:8" x14ac:dyDescent="0.2">
      <c r="A21" s="32"/>
      <c r="B21" s="58">
        <v>35</v>
      </c>
      <c r="C21" s="94">
        <v>4435</v>
      </c>
      <c r="D21" s="51">
        <f>ROUND(470997.55*1.03,2)</f>
        <v>485127.48</v>
      </c>
      <c r="E21" s="51">
        <f>ROUND(640682.88*1.03,2)</f>
        <v>659903.37</v>
      </c>
      <c r="F21" s="59">
        <f t="shared" si="0"/>
        <v>109386.12852311161</v>
      </c>
      <c r="G21" s="59">
        <f t="shared" si="1"/>
        <v>148794.4464487035</v>
      </c>
      <c r="H21" s="37"/>
    </row>
    <row r="22" spans="1:8" x14ac:dyDescent="0.2">
      <c r="A22" s="32"/>
      <c r="B22" s="58">
        <v>39</v>
      </c>
      <c r="C22" s="94">
        <v>5395</v>
      </c>
      <c r="D22" s="51">
        <f>ROUND(571189.28*1.03,2)</f>
        <v>588324.96</v>
      </c>
      <c r="E22" s="51">
        <f>ROUND(777155.15*1.03,2)</f>
        <v>800469.8</v>
      </c>
      <c r="F22" s="59">
        <f t="shared" si="0"/>
        <v>109050.03892493049</v>
      </c>
      <c r="G22" s="59">
        <f t="shared" si="1"/>
        <v>148372.53012048194</v>
      </c>
      <c r="H22" s="37"/>
    </row>
    <row r="23" spans="1:8" x14ac:dyDescent="0.2">
      <c r="A23" s="32"/>
      <c r="B23" s="58">
        <v>43</v>
      </c>
      <c r="C23" s="94">
        <v>6675</v>
      </c>
      <c r="D23" s="51">
        <f>ROUND(671549.1*1.03,2)</f>
        <v>691695.57</v>
      </c>
      <c r="E23" s="51">
        <f>ROUND(913508.15*1.03,2)</f>
        <v>940913.39</v>
      </c>
      <c r="F23" s="59">
        <f t="shared" si="0"/>
        <v>103624.80449438201</v>
      </c>
      <c r="G23" s="59">
        <f t="shared" si="1"/>
        <v>140960.80749063671</v>
      </c>
      <c r="H23" s="37"/>
    </row>
    <row r="24" spans="1:8" x14ac:dyDescent="0.2">
      <c r="A24" s="32"/>
      <c r="B24" s="58">
        <v>47</v>
      </c>
      <c r="C24" s="94">
        <v>7845</v>
      </c>
      <c r="D24" s="51">
        <f>ROUND(788707.42*1.03,2)</f>
        <v>812368.64</v>
      </c>
      <c r="E24" s="51">
        <f>ROUND(1072568.73*1.03,2)</f>
        <v>1104745.79</v>
      </c>
      <c r="F24" s="59">
        <f t="shared" si="0"/>
        <v>103552.40790312301</v>
      </c>
      <c r="G24" s="59">
        <f t="shared" si="1"/>
        <v>140821.64308476736</v>
      </c>
      <c r="H24" s="37"/>
    </row>
    <row r="25" spans="1:8" x14ac:dyDescent="0.2">
      <c r="A25" s="32"/>
      <c r="B25" s="58">
        <v>50</v>
      </c>
      <c r="C25" s="94">
        <v>9110</v>
      </c>
      <c r="D25" s="51">
        <f>ROUND(914672.72*1.03,2)</f>
        <v>942112.9</v>
      </c>
      <c r="E25" s="51">
        <f>ROUND(1244281.75*1.03,2)</f>
        <v>1281610.2</v>
      </c>
      <c r="F25" s="59">
        <f t="shared" si="0"/>
        <v>103415.24698133919</v>
      </c>
      <c r="G25" s="59">
        <f t="shared" si="1"/>
        <v>140681.69045005488</v>
      </c>
      <c r="H25" s="37"/>
    </row>
    <row r="26" spans="1:8" x14ac:dyDescent="0.2">
      <c r="A26" s="32"/>
      <c r="B26" s="58">
        <v>52</v>
      </c>
      <c r="C26" s="94">
        <v>9910</v>
      </c>
      <c r="D26" s="51">
        <f>ROUND(992553.87*1.03,2)</f>
        <v>1022330.49</v>
      </c>
      <c r="E26" s="51">
        <f>ROUND(1350515.42*1.03,2)</f>
        <v>1391030.88</v>
      </c>
      <c r="F26" s="59">
        <f t="shared" si="0"/>
        <v>103161.50252270434</v>
      </c>
      <c r="G26" s="59">
        <f t="shared" si="1"/>
        <v>140366.38546922299</v>
      </c>
      <c r="H26" s="37"/>
    </row>
    <row r="27" spans="1:8" x14ac:dyDescent="0.2">
      <c r="A27" s="32"/>
      <c r="B27" s="58">
        <v>54</v>
      </c>
      <c r="C27" s="94">
        <v>10600</v>
      </c>
      <c r="D27" s="51">
        <f>ROUND(1058771.64*1.03,2)</f>
        <v>1090534.79</v>
      </c>
      <c r="E27" s="51">
        <f>ROUND(1439899.78*1.03,2)</f>
        <v>1483096.77</v>
      </c>
      <c r="F27" s="59">
        <f t="shared" si="0"/>
        <v>102880.64056603773</v>
      </c>
      <c r="G27" s="59">
        <f t="shared" si="1"/>
        <v>139914.78962264152</v>
      </c>
      <c r="H27" s="37"/>
    </row>
    <row r="28" spans="1:8" x14ac:dyDescent="0.2">
      <c r="A28" s="32"/>
      <c r="B28" s="58">
        <v>56</v>
      </c>
      <c r="C28" s="94">
        <v>11450</v>
      </c>
      <c r="D28" s="51">
        <f>ROUND(1133796.34*1.03,2)</f>
        <v>1167810.23</v>
      </c>
      <c r="E28" s="51">
        <f>ROUND(1542671.69*1.03,2)</f>
        <v>1588951.84</v>
      </c>
      <c r="F28" s="59">
        <f t="shared" si="0"/>
        <v>101992.1598253275</v>
      </c>
      <c r="G28" s="59">
        <f t="shared" si="1"/>
        <v>138773.08646288211</v>
      </c>
      <c r="H28" s="37"/>
    </row>
    <row r="29" spans="1:8" x14ac:dyDescent="0.2">
      <c r="A29" s="32"/>
      <c r="B29" s="58">
        <v>58</v>
      </c>
      <c r="C29" s="94">
        <v>12050</v>
      </c>
      <c r="D29" s="51">
        <f>ROUND(1192959.67*1.03,2)</f>
        <v>1228748.46</v>
      </c>
      <c r="E29" s="51">
        <f>ROUND(1621725.65*1.03,2)</f>
        <v>1670377.42</v>
      </c>
      <c r="F29" s="59">
        <f t="shared" si="0"/>
        <v>101970.82655601659</v>
      </c>
      <c r="G29" s="59">
        <f t="shared" si="1"/>
        <v>138620.53278008298</v>
      </c>
      <c r="H29" s="37"/>
    </row>
    <row r="30" spans="1:8" x14ac:dyDescent="0.2">
      <c r="B30" s="58">
        <v>66.5</v>
      </c>
      <c r="C30" s="94">
        <v>16450</v>
      </c>
      <c r="D30" s="51">
        <f>ROUND(1499640.5*1.03,2)</f>
        <v>1544629.72</v>
      </c>
      <c r="E30" s="51">
        <f>ROUND(2035956.55*1.03,2)</f>
        <v>2097035.25</v>
      </c>
      <c r="F30" s="103">
        <f t="shared" si="0"/>
        <v>93898.463221884493</v>
      </c>
      <c r="G30" s="103">
        <f t="shared" si="1"/>
        <v>127479.34650455927</v>
      </c>
    </row>
  </sheetData>
  <mergeCells count="1">
    <mergeCell ref="F2:G3"/>
  </mergeCells>
  <phoneticPr fontId="0" type="noConversion"/>
  <hyperlinks>
    <hyperlink ref="H1" location="'2'!A1" display="Оглавление"/>
  </hyperlinks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&amp;A</oddHead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H62"/>
  <sheetViews>
    <sheetView showGridLines="0" showRowColHeaders="0" view="pageBreakPreview" topLeftCell="A13" zoomScaleNormal="75" zoomScaleSheetLayoutView="100" workbookViewId="0">
      <selection activeCell="D2" sqref="D2"/>
    </sheetView>
  </sheetViews>
  <sheetFormatPr defaultColWidth="8.85546875" defaultRowHeight="12.75" x14ac:dyDescent="0.2"/>
  <cols>
    <col min="1" max="1" width="9.7109375" style="144" customWidth="1"/>
    <col min="2" max="3" width="9.7109375" style="154" customWidth="1"/>
    <col min="4" max="7" width="12.7109375" style="154" customWidth="1"/>
    <col min="8" max="8" width="9.5703125" style="154" bestFit="1" customWidth="1"/>
    <col min="9" max="16384" width="8.85546875" style="154"/>
  </cols>
  <sheetData>
    <row r="1" spans="1:8" x14ac:dyDescent="0.2">
      <c r="G1" s="145">
        <v>43435</v>
      </c>
      <c r="H1" s="146" t="s">
        <v>114</v>
      </c>
    </row>
    <row r="2" spans="1:8" x14ac:dyDescent="0.2">
      <c r="B2" s="270" t="s">
        <v>27</v>
      </c>
      <c r="C2" s="271"/>
      <c r="D2" s="271"/>
      <c r="E2" s="272"/>
      <c r="F2" s="448" t="s">
        <v>29</v>
      </c>
      <c r="G2" s="448"/>
    </row>
    <row r="3" spans="1:8" x14ac:dyDescent="0.2">
      <c r="B3" s="273" t="s">
        <v>30</v>
      </c>
      <c r="C3" s="274"/>
      <c r="D3" s="274"/>
      <c r="E3" s="275"/>
      <c r="F3" s="448"/>
      <c r="G3" s="448"/>
    </row>
    <row r="4" spans="1:8" ht="24.75" customHeight="1" x14ac:dyDescent="0.2">
      <c r="B4" s="303"/>
      <c r="C4" s="412"/>
      <c r="D4" s="188" t="s">
        <v>197</v>
      </c>
      <c r="E4" s="189"/>
      <c r="F4" s="191" t="s">
        <v>198</v>
      </c>
      <c r="G4" s="190"/>
    </row>
    <row r="5" spans="1:8" ht="12.75" customHeight="1" x14ac:dyDescent="0.2">
      <c r="A5" s="276"/>
      <c r="B5" s="304" t="s">
        <v>196</v>
      </c>
      <c r="C5" s="305" t="s">
        <v>195</v>
      </c>
      <c r="D5" s="288" t="s">
        <v>191</v>
      </c>
      <c r="E5" s="289" t="s">
        <v>192</v>
      </c>
      <c r="F5" s="288" t="s">
        <v>193</v>
      </c>
      <c r="G5" s="291" t="s">
        <v>194</v>
      </c>
    </row>
    <row r="6" spans="1:8" ht="12.75" customHeight="1" x14ac:dyDescent="0.2">
      <c r="A6" s="277"/>
      <c r="B6" s="290">
        <v>6.4</v>
      </c>
      <c r="C6" s="278">
        <v>167.7</v>
      </c>
      <c r="D6" s="416">
        <f>ROUND(36060.06*1.03,2)</f>
        <v>37141.86</v>
      </c>
      <c r="E6" s="416">
        <f>ROUND(47603.91*1.03,2)</f>
        <v>49032.03</v>
      </c>
      <c r="F6" s="279">
        <f>D6/C6*1000</f>
        <v>221477.99642218248</v>
      </c>
      <c r="G6" s="292">
        <f t="shared" ref="G6:G26" si="0">E6/C6*1000</f>
        <v>292379.42754919501</v>
      </c>
      <c r="H6" s="157"/>
    </row>
    <row r="7" spans="1:8" ht="12.75" customHeight="1" x14ac:dyDescent="0.2">
      <c r="A7" s="280"/>
      <c r="B7" s="290">
        <v>7.7</v>
      </c>
      <c r="C7" s="278">
        <v>238.5</v>
      </c>
      <c r="D7" s="416">
        <f>ROUND(41996.58*1.03,2)</f>
        <v>43256.480000000003</v>
      </c>
      <c r="E7" s="416">
        <f>ROUND(55454.96*1.03,2)</f>
        <v>57118.61</v>
      </c>
      <c r="F7" s="279">
        <f t="shared" ref="F7:F27" si="1">D7/C7*1000</f>
        <v>181368.88888888891</v>
      </c>
      <c r="G7" s="292">
        <f t="shared" si="0"/>
        <v>239491.02725366876</v>
      </c>
      <c r="H7" s="157"/>
    </row>
    <row r="8" spans="1:8" ht="12.75" customHeight="1" x14ac:dyDescent="0.2">
      <c r="A8" s="280"/>
      <c r="B8" s="290">
        <v>8.6</v>
      </c>
      <c r="C8" s="278">
        <v>315.8</v>
      </c>
      <c r="D8" s="416">
        <f>ROUND(50372.18*1.03,2)</f>
        <v>51883.35</v>
      </c>
      <c r="E8" s="416">
        <f>ROUND(66520.84*1.03,2)</f>
        <v>68516.47</v>
      </c>
      <c r="F8" s="279">
        <f t="shared" si="1"/>
        <v>164291.7986067131</v>
      </c>
      <c r="G8" s="292">
        <f t="shared" si="0"/>
        <v>216961.58961367953</v>
      </c>
      <c r="H8" s="157"/>
    </row>
    <row r="9" spans="1:8" ht="12.75" customHeight="1" x14ac:dyDescent="0.2">
      <c r="A9" s="280"/>
      <c r="B9" s="290">
        <v>10</v>
      </c>
      <c r="C9" s="278">
        <v>421.5</v>
      </c>
      <c r="D9" s="416">
        <f>ROUND(61789.8*1.03,2)</f>
        <v>63643.49</v>
      </c>
      <c r="E9" s="416">
        <f>ROUND(81572.06*1.03,2)</f>
        <v>84019.22</v>
      </c>
      <c r="F9" s="279">
        <f t="shared" si="1"/>
        <v>150992.85883748517</v>
      </c>
      <c r="G9" s="292">
        <f t="shared" si="0"/>
        <v>199333.85527876634</v>
      </c>
      <c r="H9" s="157"/>
    </row>
    <row r="10" spans="1:8" ht="12.75" customHeight="1" x14ac:dyDescent="0.2">
      <c r="A10" s="280"/>
      <c r="B10" s="290">
        <v>11.5</v>
      </c>
      <c r="C10" s="278">
        <v>529.5</v>
      </c>
      <c r="D10" s="416">
        <f>ROUND(69703.05*1.03,2)</f>
        <v>71794.14</v>
      </c>
      <c r="E10" s="416">
        <f>ROUND(91991.09*1.03,2)</f>
        <v>94750.82</v>
      </c>
      <c r="F10" s="279">
        <f t="shared" si="1"/>
        <v>135588.55524079321</v>
      </c>
      <c r="G10" s="292">
        <f t="shared" si="0"/>
        <v>178943.94711992447</v>
      </c>
      <c r="H10" s="157"/>
    </row>
    <row r="11" spans="1:8" ht="12.75" customHeight="1" x14ac:dyDescent="0.2">
      <c r="A11" s="280"/>
      <c r="B11" s="290">
        <v>12.5</v>
      </c>
      <c r="C11" s="278">
        <v>650</v>
      </c>
      <c r="D11" s="416">
        <f>ROUND(83106.14*1.03,2)</f>
        <v>85599.32</v>
      </c>
      <c r="E11" s="416">
        <f>ROUND(109706.98*1.03,2)</f>
        <v>112998.19</v>
      </c>
      <c r="F11" s="279">
        <f t="shared" si="1"/>
        <v>131691.26153846155</v>
      </c>
      <c r="G11" s="292">
        <f t="shared" si="0"/>
        <v>173843.36923076925</v>
      </c>
      <c r="H11" s="157"/>
    </row>
    <row r="12" spans="1:8" ht="12.75" customHeight="1" x14ac:dyDescent="0.2">
      <c r="A12" s="280"/>
      <c r="B12" s="290">
        <v>14</v>
      </c>
      <c r="C12" s="278">
        <v>782.5</v>
      </c>
      <c r="D12" s="416">
        <f>ROUND(98639.53*1.03,2)</f>
        <v>101598.72</v>
      </c>
      <c r="E12" s="416">
        <f>ROUND(130186.61*1.03,2)</f>
        <v>134092.21</v>
      </c>
      <c r="F12" s="279">
        <f t="shared" si="1"/>
        <v>129838.6198083067</v>
      </c>
      <c r="G12" s="292">
        <f t="shared" si="0"/>
        <v>171363.84664536739</v>
      </c>
      <c r="H12" s="157"/>
    </row>
    <row r="13" spans="1:8" ht="12.75" customHeight="1" x14ac:dyDescent="0.2">
      <c r="A13" s="280"/>
      <c r="B13" s="290">
        <v>15</v>
      </c>
      <c r="C13" s="278">
        <v>927.6</v>
      </c>
      <c r="D13" s="416">
        <f>ROUND(111752.24*1.03,2)</f>
        <v>115104.81</v>
      </c>
      <c r="E13" s="416">
        <f>ROUND(147618.29*1.03,2)</f>
        <v>152046.84</v>
      </c>
      <c r="F13" s="279">
        <f t="shared" si="1"/>
        <v>124088.84217335057</v>
      </c>
      <c r="G13" s="292">
        <f t="shared" si="0"/>
        <v>163914.23027166881</v>
      </c>
      <c r="H13" s="157"/>
    </row>
    <row r="14" spans="1:8" ht="12.75" customHeight="1" x14ac:dyDescent="0.2">
      <c r="A14" s="280"/>
      <c r="B14" s="290">
        <v>16.5</v>
      </c>
      <c r="C14" s="281">
        <v>1085</v>
      </c>
      <c r="D14" s="416">
        <f>ROUND(127220.15*1.03,2)</f>
        <v>131036.75</v>
      </c>
      <c r="E14" s="416">
        <f>ROUND(167928.79*1.03,2)</f>
        <v>172966.65</v>
      </c>
      <c r="F14" s="279">
        <f t="shared" si="1"/>
        <v>120771.19815668203</v>
      </c>
      <c r="G14" s="292">
        <f t="shared" si="0"/>
        <v>159416.26728110597</v>
      </c>
      <c r="H14" s="157"/>
    </row>
    <row r="15" spans="1:8" ht="12.75" customHeight="1" x14ac:dyDescent="0.2">
      <c r="A15" s="280"/>
      <c r="B15" s="290">
        <v>17.5</v>
      </c>
      <c r="C15" s="281">
        <v>1255</v>
      </c>
      <c r="D15" s="416">
        <f>ROUND(140053.3*1.03,2)</f>
        <v>144254.9</v>
      </c>
      <c r="E15" s="416">
        <f>ROUND(184946.46*1.03,2)</f>
        <v>190494.85</v>
      </c>
      <c r="F15" s="279">
        <f t="shared" si="1"/>
        <v>114944.14342629482</v>
      </c>
      <c r="G15" s="292">
        <f t="shared" si="0"/>
        <v>151788.72509960161</v>
      </c>
      <c r="H15" s="157"/>
    </row>
    <row r="16" spans="1:8" ht="12.75" customHeight="1" x14ac:dyDescent="0.2">
      <c r="A16" s="280"/>
      <c r="B16" s="290">
        <v>19</v>
      </c>
      <c r="C16" s="281">
        <v>1485</v>
      </c>
      <c r="D16" s="416">
        <f>ROUND(161918.78*1.03,2)</f>
        <v>166776.34</v>
      </c>
      <c r="E16" s="416">
        <f>ROUND(213817.73*1.03,2)</f>
        <v>220232.26</v>
      </c>
      <c r="F16" s="279">
        <f t="shared" si="1"/>
        <v>112307.29966329967</v>
      </c>
      <c r="G16" s="292">
        <f t="shared" si="0"/>
        <v>148304.55218855222</v>
      </c>
      <c r="H16" s="157"/>
    </row>
    <row r="17" spans="1:8" ht="12.75" customHeight="1" x14ac:dyDescent="0.2">
      <c r="A17" s="280"/>
      <c r="B17" s="290">
        <v>20.5</v>
      </c>
      <c r="C17" s="281">
        <v>1681</v>
      </c>
      <c r="D17" s="416">
        <f>ROUND(183506.24*1.03,2)</f>
        <v>189011.43</v>
      </c>
      <c r="E17" s="416">
        <f>ROUND(242401.1*1.03,2)</f>
        <v>249673.13</v>
      </c>
      <c r="F17" s="279">
        <f t="shared" si="1"/>
        <v>112439.87507436051</v>
      </c>
      <c r="G17" s="292">
        <f t="shared" si="0"/>
        <v>148526.54967281382</v>
      </c>
      <c r="H17" s="157"/>
    </row>
    <row r="18" spans="1:8" ht="12.75" customHeight="1" x14ac:dyDescent="0.2">
      <c r="A18" s="280"/>
      <c r="B18" s="290">
        <v>21.5</v>
      </c>
      <c r="C18" s="281">
        <v>1890</v>
      </c>
      <c r="D18" s="416">
        <f>ROUND(202504.44*1.03,2)</f>
        <v>208579.57</v>
      </c>
      <c r="E18" s="416">
        <f>ROUND(267308.34*1.03,2)</f>
        <v>275327.59000000003</v>
      </c>
      <c r="F18" s="279">
        <f t="shared" si="1"/>
        <v>110359.56084656085</v>
      </c>
      <c r="G18" s="292">
        <f t="shared" si="0"/>
        <v>145675.97354497353</v>
      </c>
      <c r="H18" s="157"/>
    </row>
    <row r="19" spans="1:8" ht="12.75" customHeight="1" x14ac:dyDescent="0.2">
      <c r="A19" s="280"/>
      <c r="B19" s="290">
        <v>22.5</v>
      </c>
      <c r="C19" s="281">
        <v>2115</v>
      </c>
      <c r="D19" s="416">
        <f>ROUND(214482.87*1.03,2)</f>
        <v>220917.36</v>
      </c>
      <c r="E19" s="416">
        <f>ROUND(283086.3*1.03,2)</f>
        <v>291578.89</v>
      </c>
      <c r="F19" s="279">
        <f t="shared" si="1"/>
        <v>104452.65248226951</v>
      </c>
      <c r="G19" s="292">
        <f t="shared" si="0"/>
        <v>137862.35933806148</v>
      </c>
      <c r="H19" s="157"/>
    </row>
    <row r="20" spans="1:8" ht="12.75" customHeight="1" x14ac:dyDescent="0.2">
      <c r="A20" s="280"/>
      <c r="B20" s="290">
        <v>25</v>
      </c>
      <c r="C20" s="281">
        <v>2560</v>
      </c>
      <c r="D20" s="416">
        <f>ROUND(258819.06*1.03,2)</f>
        <v>266583.63</v>
      </c>
      <c r="E20" s="416">
        <f>ROUND(341755.8*1.03,2)</f>
        <v>352008.47</v>
      </c>
      <c r="F20" s="279">
        <f t="shared" si="1"/>
        <v>104134.23046875</v>
      </c>
      <c r="G20" s="292">
        <f t="shared" si="0"/>
        <v>137503.30859374997</v>
      </c>
      <c r="H20" s="157"/>
    </row>
    <row r="21" spans="1:8" ht="12.75" customHeight="1" x14ac:dyDescent="0.2">
      <c r="A21" s="280"/>
      <c r="B21" s="290">
        <v>27.5</v>
      </c>
      <c r="C21" s="281">
        <v>3050</v>
      </c>
      <c r="D21" s="416">
        <f>ROUND(306647.69*1.03,2)</f>
        <v>315847.12</v>
      </c>
      <c r="E21" s="416">
        <f>ROUND(404743.69*1.03,2)</f>
        <v>416886</v>
      </c>
      <c r="F21" s="279">
        <f t="shared" si="1"/>
        <v>103556.43278688524</v>
      </c>
      <c r="G21" s="292">
        <f t="shared" si="0"/>
        <v>136683.93442622951</v>
      </c>
      <c r="H21" s="157"/>
    </row>
    <row r="22" spans="1:8" ht="12.75" customHeight="1" x14ac:dyDescent="0.2">
      <c r="A22" s="280"/>
      <c r="B22" s="290">
        <v>29.5</v>
      </c>
      <c r="C22" s="281">
        <v>3630</v>
      </c>
      <c r="D22" s="416">
        <f>ROUND(354450.74*1.03,2)</f>
        <v>365084.26</v>
      </c>
      <c r="E22" s="416">
        <f>ROUND(482110.82*1.03,2)</f>
        <v>496574.14</v>
      </c>
      <c r="F22" s="279">
        <f t="shared" si="1"/>
        <v>100574.17630853994</v>
      </c>
      <c r="G22" s="292">
        <f t="shared" si="0"/>
        <v>136797.28374655647</v>
      </c>
      <c r="H22" s="157"/>
    </row>
    <row r="23" spans="1:8" ht="12.75" customHeight="1" x14ac:dyDescent="0.2">
      <c r="A23" s="280"/>
      <c r="B23" s="290">
        <v>31.5</v>
      </c>
      <c r="C23" s="281">
        <v>4251</v>
      </c>
      <c r="D23" s="416">
        <f>ROUND(412351.82*1.03,2)</f>
        <v>424722.37</v>
      </c>
      <c r="E23" s="416">
        <f>ROUND(561028.94*1.03,2)</f>
        <v>577859.81000000006</v>
      </c>
      <c r="F23" s="279">
        <f t="shared" si="1"/>
        <v>99911.166784286048</v>
      </c>
      <c r="G23" s="292">
        <f t="shared" si="0"/>
        <v>135935.02940484593</v>
      </c>
      <c r="H23" s="157"/>
    </row>
    <row r="24" spans="1:8" ht="12.75" customHeight="1" x14ac:dyDescent="0.2">
      <c r="A24" s="280"/>
      <c r="B24" s="290">
        <v>34</v>
      </c>
      <c r="C24" s="281">
        <v>4923</v>
      </c>
      <c r="D24" s="416">
        <f>ROUND(477329.47*1.03,2)</f>
        <v>491649.35</v>
      </c>
      <c r="E24" s="416">
        <f>ROUND(649134.31*1.03,2)</f>
        <v>668608.34</v>
      </c>
      <c r="F24" s="279">
        <f t="shared" si="1"/>
        <v>99867.834653666461</v>
      </c>
      <c r="G24" s="292">
        <f t="shared" si="0"/>
        <v>135813.19114361162</v>
      </c>
      <c r="H24" s="157"/>
    </row>
    <row r="25" spans="1:8" ht="12.75" customHeight="1" x14ac:dyDescent="0.2">
      <c r="A25" s="280"/>
      <c r="B25" s="290">
        <v>35.5</v>
      </c>
      <c r="C25" s="281">
        <v>5415</v>
      </c>
      <c r="D25" s="416">
        <f>ROUND(522549.55*1.03,2)</f>
        <v>538226.04</v>
      </c>
      <c r="E25" s="416">
        <f>ROUND(711003.41*1.03,2)</f>
        <v>732333.51</v>
      </c>
      <c r="F25" s="279">
        <f t="shared" si="1"/>
        <v>99395.390581717467</v>
      </c>
      <c r="G25" s="292">
        <f t="shared" si="0"/>
        <v>135241.64542936286</v>
      </c>
      <c r="H25" s="157"/>
    </row>
    <row r="26" spans="1:8" ht="12.75" customHeight="1" x14ac:dyDescent="0.2">
      <c r="A26" s="280"/>
      <c r="B26" s="290">
        <v>38</v>
      </c>
      <c r="C26" s="281">
        <v>5935</v>
      </c>
      <c r="D26" s="416">
        <f>ROUND(572207.54*1.03,2)</f>
        <v>589373.77</v>
      </c>
      <c r="E26" s="416">
        <f>ROUND(778414.42*1.03,2)</f>
        <v>801766.85</v>
      </c>
      <c r="F26" s="279">
        <f t="shared" si="1"/>
        <v>99304.763268744733</v>
      </c>
      <c r="G26" s="292">
        <f t="shared" si="0"/>
        <v>135091.29738837405</v>
      </c>
      <c r="H26" s="157"/>
    </row>
    <row r="27" spans="1:8" ht="12.75" customHeight="1" x14ac:dyDescent="0.2">
      <c r="A27" s="280"/>
      <c r="B27" s="293">
        <v>40.5</v>
      </c>
      <c r="C27" s="294">
        <v>6723</v>
      </c>
      <c r="D27" s="295">
        <f>ROUND(643558.93*1.03,2)</f>
        <v>662865.69999999995</v>
      </c>
      <c r="E27" s="295"/>
      <c r="F27" s="296">
        <f t="shared" si="1"/>
        <v>98596.712777034059</v>
      </c>
      <c r="G27" s="297"/>
      <c r="H27" s="157"/>
    </row>
    <row r="28" spans="1:8" ht="12.75" customHeight="1" x14ac:dyDescent="0.2">
      <c r="A28" s="280"/>
      <c r="B28" s="282"/>
      <c r="C28" s="282"/>
      <c r="D28" s="283"/>
      <c r="E28" s="283"/>
      <c r="F28" s="283"/>
      <c r="G28" s="283"/>
      <c r="H28" s="157"/>
    </row>
    <row r="29" spans="1:8" ht="12.75" customHeight="1" x14ac:dyDescent="0.2">
      <c r="A29" s="280"/>
      <c r="B29" s="282"/>
      <c r="C29" s="282"/>
      <c r="D29" s="283"/>
      <c r="E29" s="283"/>
      <c r="F29" s="283"/>
      <c r="G29" s="145">
        <v>43435</v>
      </c>
      <c r="H29" s="157"/>
    </row>
    <row r="30" spans="1:8" ht="12.75" customHeight="1" x14ac:dyDescent="0.2">
      <c r="B30" s="270" t="s">
        <v>19</v>
      </c>
      <c r="C30" s="271"/>
      <c r="D30" s="271"/>
      <c r="E30" s="272"/>
      <c r="F30" s="448" t="s">
        <v>31</v>
      </c>
      <c r="G30" s="448"/>
      <c r="H30" s="284"/>
    </row>
    <row r="31" spans="1:8" ht="12.75" customHeight="1" x14ac:dyDescent="0.2">
      <c r="B31" s="273" t="s">
        <v>32</v>
      </c>
      <c r="C31" s="274"/>
      <c r="D31" s="274"/>
      <c r="E31" s="275"/>
      <c r="F31" s="448"/>
      <c r="G31" s="448"/>
      <c r="H31" s="284"/>
    </row>
    <row r="32" spans="1:8" ht="24.75" customHeight="1" x14ac:dyDescent="0.2">
      <c r="B32" s="306"/>
      <c r="C32" s="412"/>
      <c r="D32" s="188" t="s">
        <v>197</v>
      </c>
      <c r="E32" s="189"/>
      <c r="F32" s="191" t="s">
        <v>198</v>
      </c>
      <c r="G32" s="190"/>
      <c r="H32" s="284"/>
    </row>
    <row r="33" spans="2:8" ht="12.75" customHeight="1" x14ac:dyDescent="0.2">
      <c r="B33" s="304" t="s">
        <v>196</v>
      </c>
      <c r="C33" s="305" t="s">
        <v>195</v>
      </c>
      <c r="D33" s="288" t="s">
        <v>191</v>
      </c>
      <c r="E33" s="289" t="s">
        <v>192</v>
      </c>
      <c r="F33" s="288" t="s">
        <v>193</v>
      </c>
      <c r="G33" s="291" t="s">
        <v>194</v>
      </c>
      <c r="H33" s="284"/>
    </row>
    <row r="34" spans="2:8" ht="12.75" customHeight="1" x14ac:dyDescent="0.2">
      <c r="B34" s="298">
        <v>11.5</v>
      </c>
      <c r="C34" s="285">
        <v>405.5</v>
      </c>
      <c r="D34" s="416">
        <f>ROUND(104236.96*1.03,2)</f>
        <v>107364.07</v>
      </c>
      <c r="E34" s="416">
        <f>ROUND(141831.46*1.03,2)</f>
        <v>146086.39999999999</v>
      </c>
      <c r="F34" s="279">
        <f>D34/C34*1000</f>
        <v>264769.59309494455</v>
      </c>
      <c r="G34" s="292">
        <f>E34/C34*1000</f>
        <v>360262.39210850798</v>
      </c>
      <c r="H34" s="284"/>
    </row>
    <row r="35" spans="2:8" ht="12.75" customHeight="1" x14ac:dyDescent="0.2">
      <c r="B35" s="298">
        <v>13.5</v>
      </c>
      <c r="C35" s="285">
        <v>534</v>
      </c>
      <c r="D35" s="416">
        <f>ROUND(126231.77*1.03,2)</f>
        <v>130018.72</v>
      </c>
      <c r="E35" s="416">
        <f>ROUND(171756.25*1.03,2)</f>
        <v>176908.94</v>
      </c>
      <c r="F35" s="279">
        <f t="shared" ref="F35:F52" si="2">D35/C35*1000</f>
        <v>243480.7490636704</v>
      </c>
      <c r="G35" s="292">
        <f t="shared" ref="G35:G52" si="3">E35/C35*1000</f>
        <v>331290.1498127341</v>
      </c>
      <c r="H35" s="284"/>
    </row>
    <row r="36" spans="2:8" ht="12.75" customHeight="1" x14ac:dyDescent="0.2">
      <c r="B36" s="299">
        <v>15</v>
      </c>
      <c r="C36" s="285">
        <v>721.5</v>
      </c>
      <c r="D36" s="416">
        <f>ROUND(165361.21*1.03,2)</f>
        <v>170322.05</v>
      </c>
      <c r="E36" s="416">
        <f>ROUND(225001.38*1.03,2)</f>
        <v>231751.42</v>
      </c>
      <c r="F36" s="279">
        <f t="shared" si="2"/>
        <v>236066.59736659736</v>
      </c>
      <c r="G36" s="292">
        <f t="shared" si="3"/>
        <v>321207.78932778933</v>
      </c>
      <c r="H36" s="284"/>
    </row>
    <row r="37" spans="2:8" ht="12.75" customHeight="1" x14ac:dyDescent="0.2">
      <c r="B37" s="299">
        <v>17</v>
      </c>
      <c r="C37" s="285">
        <v>889.5</v>
      </c>
      <c r="D37" s="416">
        <f>ROUND(187741.64*1.03,2)</f>
        <v>193373.89</v>
      </c>
      <c r="E37" s="416">
        <f>ROUND(255452.11*1.03,2)</f>
        <v>263115.67</v>
      </c>
      <c r="F37" s="279">
        <f t="shared" si="2"/>
        <v>217396.16638560992</v>
      </c>
      <c r="G37" s="292">
        <f t="shared" si="3"/>
        <v>295801.76503653737</v>
      </c>
      <c r="H37" s="284"/>
    </row>
    <row r="38" spans="2:8" ht="12.75" customHeight="1" x14ac:dyDescent="0.2">
      <c r="B38" s="299">
        <v>19</v>
      </c>
      <c r="C38" s="286">
        <v>1075</v>
      </c>
      <c r="D38" s="416">
        <f>ROUND(212325.12*1.03,2)</f>
        <v>218694.87</v>
      </c>
      <c r="E38" s="416">
        <f>ROUND(288900.42*1.03,2)</f>
        <v>297567.43</v>
      </c>
      <c r="F38" s="279">
        <f t="shared" si="2"/>
        <v>203437.08837209304</v>
      </c>
      <c r="G38" s="292">
        <f t="shared" si="3"/>
        <v>276806.91162790696</v>
      </c>
      <c r="H38" s="284"/>
    </row>
    <row r="39" spans="2:8" ht="12.75" customHeight="1" x14ac:dyDescent="0.2">
      <c r="B39" s="299">
        <v>21</v>
      </c>
      <c r="C39" s="286">
        <v>1335</v>
      </c>
      <c r="D39" s="416">
        <f>ROUND(249980.62*1.03,2)</f>
        <v>257480.04</v>
      </c>
      <c r="E39" s="416">
        <f>ROUND(339834.07*1.03,2)</f>
        <v>350029.09</v>
      </c>
      <c r="F39" s="279">
        <f t="shared" si="2"/>
        <v>192868.94382022473</v>
      </c>
      <c r="G39" s="292">
        <f t="shared" si="3"/>
        <v>262194.07490636705</v>
      </c>
      <c r="H39" s="284"/>
    </row>
    <row r="40" spans="2:8" ht="12.75" customHeight="1" x14ac:dyDescent="0.2">
      <c r="B40" s="299">
        <v>23</v>
      </c>
      <c r="C40" s="286">
        <v>1625</v>
      </c>
      <c r="D40" s="416">
        <f>ROUND(302018.06*1.03,2)</f>
        <v>311078.59999999998</v>
      </c>
      <c r="E40" s="416">
        <f>ROUND(410943.48*1.03,2)</f>
        <v>423271.78</v>
      </c>
      <c r="F40" s="279">
        <f t="shared" si="2"/>
        <v>191432.9846153846</v>
      </c>
      <c r="G40" s="292">
        <f t="shared" si="3"/>
        <v>260474.94153846157</v>
      </c>
      <c r="H40" s="284"/>
    </row>
    <row r="41" spans="2:8" ht="12.75" customHeight="1" x14ac:dyDescent="0.2">
      <c r="B41" s="300">
        <v>25</v>
      </c>
      <c r="C41" s="286">
        <v>1870</v>
      </c>
      <c r="D41" s="416">
        <f>ROUND(347192.08*1.03,2)</f>
        <v>357607.84</v>
      </c>
      <c r="E41" s="416">
        <f>ROUND(472407.34*1.03,2)</f>
        <v>486579.56</v>
      </c>
      <c r="F41" s="279">
        <f t="shared" si="2"/>
        <v>191234.13903743317</v>
      </c>
      <c r="G41" s="292">
        <f t="shared" si="3"/>
        <v>260202.97326203206</v>
      </c>
      <c r="H41" s="284"/>
    </row>
    <row r="42" spans="2:8" ht="12.75" customHeight="1" x14ac:dyDescent="0.2">
      <c r="B42" s="299">
        <v>26.5</v>
      </c>
      <c r="C42" s="286">
        <v>2135</v>
      </c>
      <c r="D42" s="416">
        <f>ROUND(358732.12*1.03,2)</f>
        <v>369494.08</v>
      </c>
      <c r="E42" s="416">
        <f>ROUND(488111.43*1.03,2)</f>
        <v>502754.77</v>
      </c>
      <c r="F42" s="279">
        <f t="shared" si="2"/>
        <v>173065.14285714287</v>
      </c>
      <c r="G42" s="292">
        <f t="shared" si="3"/>
        <v>235482.32786885247</v>
      </c>
      <c r="H42" s="284"/>
    </row>
    <row r="43" spans="2:8" ht="12.75" customHeight="1" x14ac:dyDescent="0.2">
      <c r="B43" s="299">
        <v>28.5</v>
      </c>
      <c r="C43" s="286">
        <v>2495</v>
      </c>
      <c r="D43" s="416">
        <f>ROUND(428048.54*1.03,2)</f>
        <v>440890</v>
      </c>
      <c r="E43" s="416">
        <f>ROUND(581884.87*1.03,2)</f>
        <v>599341.42000000004</v>
      </c>
      <c r="F43" s="279">
        <f t="shared" si="2"/>
        <v>176709.41883767533</v>
      </c>
      <c r="G43" s="292">
        <f t="shared" si="3"/>
        <v>240217.00200400804</v>
      </c>
      <c r="H43" s="284"/>
    </row>
    <row r="44" spans="2:8" ht="12.75" customHeight="1" x14ac:dyDescent="0.2">
      <c r="B44" s="299">
        <v>30.5</v>
      </c>
      <c r="C44" s="286">
        <v>2800</v>
      </c>
      <c r="D44" s="416">
        <f>ROUND(486795.82*1.03,2)</f>
        <v>501399.69</v>
      </c>
      <c r="E44" s="416">
        <f>ROUND(662359.41*1.03,2)</f>
        <v>682230.19</v>
      </c>
      <c r="F44" s="279">
        <f t="shared" si="2"/>
        <v>179071.31785714286</v>
      </c>
      <c r="G44" s="292">
        <f t="shared" si="3"/>
        <v>243653.63928571425</v>
      </c>
      <c r="H44" s="284"/>
    </row>
    <row r="45" spans="2:8" ht="12.75" customHeight="1" x14ac:dyDescent="0.2">
      <c r="B45" s="299">
        <v>32.5</v>
      </c>
      <c r="C45" s="287">
        <v>3125</v>
      </c>
      <c r="D45" s="416">
        <f>ROUND(498969.97*1.03,2)</f>
        <v>513939.07</v>
      </c>
      <c r="E45" s="416">
        <f>ROUND(678925.27*1.03,2)</f>
        <v>699293.03</v>
      </c>
      <c r="F45" s="279">
        <f t="shared" si="2"/>
        <v>164460.5024</v>
      </c>
      <c r="G45" s="292">
        <f t="shared" si="3"/>
        <v>223773.7696</v>
      </c>
      <c r="H45" s="284"/>
    </row>
    <row r="46" spans="2:8" ht="12.75" customHeight="1" x14ac:dyDescent="0.2">
      <c r="B46" s="299">
        <v>34.5</v>
      </c>
      <c r="C46" s="286">
        <v>3555</v>
      </c>
      <c r="D46" s="416">
        <f>ROUND(567145.36*1.03,2)</f>
        <v>584159.72</v>
      </c>
      <c r="E46" s="416">
        <f>ROUND(771688.15*1.03,2)</f>
        <v>794838.79</v>
      </c>
      <c r="F46" s="279">
        <f t="shared" si="2"/>
        <v>164320.59634317859</v>
      </c>
      <c r="G46" s="292">
        <f t="shared" si="3"/>
        <v>223583.34458509143</v>
      </c>
      <c r="H46" s="284"/>
    </row>
    <row r="47" spans="2:8" ht="12.75" customHeight="1" x14ac:dyDescent="0.2">
      <c r="B47" s="299">
        <v>38</v>
      </c>
      <c r="C47" s="286">
        <v>4305</v>
      </c>
      <c r="D47" s="416">
        <f>ROUND(666631.78*1.03,2)</f>
        <v>686630.73</v>
      </c>
      <c r="E47" s="416">
        <f>ROUND(907055.58*1.03,2)</f>
        <v>934267.25</v>
      </c>
      <c r="F47" s="279">
        <f t="shared" si="2"/>
        <v>159496.10452961674</v>
      </c>
      <c r="G47" s="292">
        <f t="shared" si="3"/>
        <v>217019.10569105693</v>
      </c>
      <c r="H47" s="284"/>
    </row>
    <row r="48" spans="2:8" ht="12.75" customHeight="1" x14ac:dyDescent="0.2">
      <c r="B48" s="299">
        <v>42</v>
      </c>
      <c r="C48" s="286">
        <v>5345</v>
      </c>
      <c r="D48" s="416">
        <f>ROUND(820538.87*1.03,2)</f>
        <v>845155.04</v>
      </c>
      <c r="E48" s="416">
        <f>ROUND(1116468.44*1.03,2)</f>
        <v>1149962.49</v>
      </c>
      <c r="F48" s="279">
        <f t="shared" si="2"/>
        <v>158120.68101028999</v>
      </c>
      <c r="G48" s="292">
        <f t="shared" si="3"/>
        <v>215147.33208606174</v>
      </c>
      <c r="H48" s="284"/>
    </row>
    <row r="49" spans="2:8" ht="12.75" customHeight="1" x14ac:dyDescent="0.2">
      <c r="B49" s="299">
        <v>46</v>
      </c>
      <c r="C49" s="286">
        <v>6240</v>
      </c>
      <c r="D49" s="416">
        <f>ROUND(1000031.72*1.03,2)</f>
        <v>1030032.67</v>
      </c>
      <c r="E49" s="416">
        <f>ROUND(1360694.57*1.03,2)</f>
        <v>1401515.41</v>
      </c>
      <c r="F49" s="279">
        <f t="shared" si="2"/>
        <v>165069.33814102563</v>
      </c>
      <c r="G49" s="292">
        <f t="shared" si="3"/>
        <v>224601.82852564103</v>
      </c>
      <c r="H49" s="284"/>
    </row>
    <row r="50" spans="2:8" ht="12.75" customHeight="1" x14ac:dyDescent="0.2">
      <c r="B50" s="299">
        <v>48</v>
      </c>
      <c r="C50" s="286">
        <v>6815</v>
      </c>
      <c r="D50" s="416">
        <f>ROUND(1092034.69*1.03,2)</f>
        <v>1124795.73</v>
      </c>
      <c r="E50" s="416">
        <f>ROUND(1485878.45*1.03,2)</f>
        <v>1530454.8</v>
      </c>
      <c r="F50" s="279">
        <f t="shared" si="2"/>
        <v>165047.0623624358</v>
      </c>
      <c r="G50" s="292">
        <f t="shared" si="3"/>
        <v>224571.50403521644</v>
      </c>
      <c r="H50" s="284"/>
    </row>
    <row r="51" spans="2:8" ht="12.75" customHeight="1" x14ac:dyDescent="0.2">
      <c r="B51" s="299">
        <v>50</v>
      </c>
      <c r="C51" s="286">
        <v>7490</v>
      </c>
      <c r="D51" s="416">
        <f>ROUND(1244919.54*1.03,2)</f>
        <v>1282267.1299999999</v>
      </c>
      <c r="E51" s="416">
        <f>ROUND(1693901.47*1.03,2)</f>
        <v>1744718.51</v>
      </c>
      <c r="F51" s="279">
        <f t="shared" si="2"/>
        <v>171197.21361815752</v>
      </c>
      <c r="G51" s="292">
        <f t="shared" si="3"/>
        <v>232939.72096128171</v>
      </c>
      <c r="H51" s="284"/>
    </row>
    <row r="52" spans="2:8" ht="12.75" customHeight="1" x14ac:dyDescent="0.2">
      <c r="B52" s="299">
        <v>53.5</v>
      </c>
      <c r="C52" s="286">
        <v>8550</v>
      </c>
      <c r="D52" s="416">
        <f>ROUND(1406759.04*1.03,2)</f>
        <v>1448961.81</v>
      </c>
      <c r="E52" s="416">
        <f>ROUND(1914108.69*1.03,2)</f>
        <v>1971531.95</v>
      </c>
      <c r="F52" s="279">
        <f t="shared" si="2"/>
        <v>169469.21754385965</v>
      </c>
      <c r="G52" s="292">
        <f t="shared" si="3"/>
        <v>230588.5321637427</v>
      </c>
      <c r="H52" s="284"/>
    </row>
    <row r="53" spans="2:8" ht="12.75" customHeight="1" x14ac:dyDescent="0.2">
      <c r="B53" s="299">
        <v>57</v>
      </c>
      <c r="C53" s="286">
        <v>9985</v>
      </c>
      <c r="D53" s="416">
        <f>ROUND(1593989.02*1.03,2)</f>
        <v>1641808.69</v>
      </c>
      <c r="E53" s="416">
        <f>ROUND(2175794.99*1.03,2)</f>
        <v>2241068.84</v>
      </c>
      <c r="F53" s="279">
        <f>D53/C53*1000</f>
        <v>164427.5102653981</v>
      </c>
      <c r="G53" s="292">
        <f>E53/C53*1000</f>
        <v>224443.54932398596</v>
      </c>
      <c r="H53" s="284"/>
    </row>
    <row r="54" spans="2:8" ht="12.75" customHeight="1" x14ac:dyDescent="0.2">
      <c r="B54" s="299">
        <v>61</v>
      </c>
      <c r="C54" s="286">
        <v>11200</v>
      </c>
      <c r="D54" s="416">
        <f>ROUND(1733127.12*1.03,2)</f>
        <v>1785120.93</v>
      </c>
      <c r="E54" s="416">
        <f>ROUND(2358181.89*1.03,2)</f>
        <v>2428927.35</v>
      </c>
      <c r="F54" s="279">
        <f>D54/C54*1000</f>
        <v>159385.79732142854</v>
      </c>
      <c r="G54" s="292">
        <f>E54/C54*1000</f>
        <v>216868.51339285716</v>
      </c>
      <c r="H54" s="284"/>
    </row>
    <row r="55" spans="2:8" ht="12.75" customHeight="1" x14ac:dyDescent="0.2">
      <c r="B55" s="301">
        <v>65</v>
      </c>
      <c r="C55" s="302">
        <v>12450</v>
      </c>
      <c r="D55" s="295">
        <f>ROUND(1889108.53*1.03,2)</f>
        <v>1945781.79</v>
      </c>
      <c r="E55" s="295">
        <f>ROUND(2570418.26*1.03,2)</f>
        <v>2647530.81</v>
      </c>
      <c r="F55" s="296">
        <f>D55/C55*1000</f>
        <v>156287.69397590362</v>
      </c>
      <c r="G55" s="297">
        <f>E55/C55*1000</f>
        <v>212653.07710843373</v>
      </c>
      <c r="H55" s="284"/>
    </row>
    <row r="56" spans="2:8" x14ac:dyDescent="0.2">
      <c r="H56" s="157"/>
    </row>
    <row r="57" spans="2:8" x14ac:dyDescent="0.2">
      <c r="H57" s="157"/>
    </row>
    <row r="58" spans="2:8" x14ac:dyDescent="0.2">
      <c r="H58" s="157"/>
    </row>
    <row r="59" spans="2:8" x14ac:dyDescent="0.2">
      <c r="H59" s="157"/>
    </row>
    <row r="60" spans="2:8" x14ac:dyDescent="0.2">
      <c r="H60" s="157"/>
    </row>
    <row r="61" spans="2:8" x14ac:dyDescent="0.2">
      <c r="H61" s="157"/>
    </row>
    <row r="62" spans="2:8" x14ac:dyDescent="0.2">
      <c r="H62" s="157"/>
    </row>
  </sheetData>
  <mergeCells count="2">
    <mergeCell ref="F2:G3"/>
    <mergeCell ref="F30:G31"/>
  </mergeCells>
  <phoneticPr fontId="0" type="noConversion"/>
  <hyperlinks>
    <hyperlink ref="H1" location="'2'!A1" display="Оглавление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99" orientation="portrait" r:id="rId1"/>
  <headerFooter alignWithMargins="0">
    <oddHeader>&amp;A</oddHeader>
  </headerFooter>
  <drawing r:id="rId2"/>
  <tableParts count="2">
    <tablePart r:id="rId3"/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I69"/>
  <sheetViews>
    <sheetView showGridLines="0" showRowColHeaders="0" view="pageBreakPreview" topLeftCell="A40" zoomScaleNormal="75" zoomScaleSheetLayoutView="100" workbookViewId="0">
      <selection activeCell="E1" sqref="E1"/>
    </sheetView>
  </sheetViews>
  <sheetFormatPr defaultColWidth="8.85546875" defaultRowHeight="12.75" x14ac:dyDescent="0.2"/>
  <cols>
    <col min="1" max="1" width="9.7109375" style="8" customWidth="1"/>
    <col min="2" max="2" width="9.7109375" style="3" customWidth="1"/>
    <col min="3" max="3" width="9.7109375" style="5" customWidth="1"/>
    <col min="4" max="7" width="12.7109375" style="3" customWidth="1"/>
    <col min="8" max="8" width="12.42578125" style="3" customWidth="1"/>
    <col min="9" max="16384" width="8.85546875" style="3"/>
  </cols>
  <sheetData>
    <row r="1" spans="1:8" s="13" customFormat="1" ht="12.75" customHeight="1" x14ac:dyDescent="0.2">
      <c r="A1" s="8"/>
      <c r="B1" s="17"/>
      <c r="C1" s="19"/>
      <c r="D1" s="18"/>
      <c r="E1" s="18"/>
      <c r="F1" s="18"/>
      <c r="G1" s="145">
        <v>43435</v>
      </c>
      <c r="H1" s="10" t="s">
        <v>114</v>
      </c>
    </row>
    <row r="2" spans="1:8" s="13" customFormat="1" ht="12.75" customHeight="1" x14ac:dyDescent="0.2">
      <c r="A2" s="8"/>
      <c r="B2" s="261" t="s">
        <v>201</v>
      </c>
      <c r="C2" s="255"/>
      <c r="D2" s="255"/>
      <c r="E2" s="256"/>
      <c r="F2" s="436" t="s">
        <v>104</v>
      </c>
      <c r="G2" s="436"/>
      <c r="H2" s="8"/>
    </row>
    <row r="3" spans="1:8" s="13" customFormat="1" ht="12.75" customHeight="1" x14ac:dyDescent="0.2">
      <c r="A3" s="8"/>
      <c r="B3" s="264" t="s">
        <v>202</v>
      </c>
      <c r="C3" s="257"/>
      <c r="D3" s="257"/>
      <c r="E3" s="258"/>
      <c r="F3" s="436"/>
      <c r="G3" s="436"/>
      <c r="H3" s="8"/>
    </row>
    <row r="4" spans="1:8" s="13" customFormat="1" ht="24.95" customHeight="1" x14ac:dyDescent="0.2">
      <c r="A4" s="8"/>
      <c r="B4" s="259"/>
      <c r="C4" s="310"/>
      <c r="D4" s="262" t="s">
        <v>197</v>
      </c>
      <c r="E4" s="189"/>
      <c r="F4" s="191" t="s">
        <v>198</v>
      </c>
      <c r="G4" s="190"/>
      <c r="H4" s="8"/>
    </row>
    <row r="5" spans="1:8" s="13" customFormat="1" ht="12.75" customHeight="1" x14ac:dyDescent="0.2">
      <c r="A5" s="26"/>
      <c r="B5" s="251" t="s">
        <v>196</v>
      </c>
      <c r="C5" s="137" t="s">
        <v>195</v>
      </c>
      <c r="D5" s="309" t="s">
        <v>191</v>
      </c>
      <c r="E5" s="250" t="s">
        <v>192</v>
      </c>
      <c r="F5" s="249" t="s">
        <v>193</v>
      </c>
      <c r="G5" s="250" t="s">
        <v>194</v>
      </c>
      <c r="H5" s="8"/>
    </row>
    <row r="6" spans="1:8" s="13" customFormat="1" ht="12.75" customHeight="1" x14ac:dyDescent="0.2">
      <c r="A6" s="29"/>
      <c r="B6" s="54">
        <v>21.5</v>
      </c>
      <c r="C6" s="95">
        <v>2105</v>
      </c>
      <c r="D6" s="67">
        <f>ROUND(426592.8*1.03,2)</f>
        <v>439390.58</v>
      </c>
      <c r="E6" s="67">
        <f>ROUND(580077.72*1.03,2)</f>
        <v>597480.05000000005</v>
      </c>
      <c r="F6" s="51">
        <f>D6/C6*1000</f>
        <v>208736.61757719718</v>
      </c>
      <c r="G6" s="51">
        <f t="shared" ref="G6:G15" si="0">E6/C6*1000</f>
        <v>283838.50356294541</v>
      </c>
      <c r="H6" s="37"/>
    </row>
    <row r="7" spans="1:8" s="13" customFormat="1" ht="12.75" customHeight="1" x14ac:dyDescent="0.2">
      <c r="A7" s="34"/>
      <c r="B7" s="54">
        <v>23</v>
      </c>
      <c r="C7" s="95">
        <v>2385</v>
      </c>
      <c r="D7" s="67">
        <f>ROUND(466338.87*1.03,2)</f>
        <v>480329.04</v>
      </c>
      <c r="E7" s="67">
        <f>ROUND(634124.16*1.03,2)</f>
        <v>653147.88</v>
      </c>
      <c r="F7" s="51">
        <f t="shared" ref="F7:F15" si="1">D7/C7*1000</f>
        <v>201395.82389937105</v>
      </c>
      <c r="G7" s="51">
        <f t="shared" si="0"/>
        <v>273856.55345911946</v>
      </c>
      <c r="H7" s="37"/>
    </row>
    <row r="8" spans="1:8" s="13" customFormat="1" ht="12.75" customHeight="1" x14ac:dyDescent="0.2">
      <c r="A8" s="34"/>
      <c r="B8" s="54">
        <v>25</v>
      </c>
      <c r="C8" s="95">
        <v>2745</v>
      </c>
      <c r="D8" s="67">
        <f>ROUND(523512.19*1.03,2)</f>
        <v>539217.56000000006</v>
      </c>
      <c r="E8" s="67">
        <f>ROUND(711867.97*1.03,2)</f>
        <v>733224.01</v>
      </c>
      <c r="F8" s="51">
        <f t="shared" si="1"/>
        <v>196436.26958105649</v>
      </c>
      <c r="G8" s="51">
        <f t="shared" si="0"/>
        <v>267112.5719489982</v>
      </c>
      <c r="H8" s="37"/>
    </row>
    <row r="9" spans="1:8" s="13" customFormat="1" ht="12.75" customHeight="1" x14ac:dyDescent="0.2">
      <c r="A9" s="34"/>
      <c r="B9" s="54">
        <v>27.5</v>
      </c>
      <c r="C9" s="95">
        <v>3340</v>
      </c>
      <c r="D9" s="67">
        <f>ROUND(616474.18*1.03,2)</f>
        <v>634968.41</v>
      </c>
      <c r="E9" s="67">
        <f>ROUND(838276.94*1.03,2)</f>
        <v>863425.25</v>
      </c>
      <c r="F9" s="51">
        <f t="shared" si="1"/>
        <v>190110.30239520961</v>
      </c>
      <c r="G9" s="51">
        <f t="shared" si="0"/>
        <v>258510.55389221557</v>
      </c>
      <c r="H9" s="37"/>
    </row>
    <row r="10" spans="1:8" s="13" customFormat="1" ht="12.75" customHeight="1" x14ac:dyDescent="0.2">
      <c r="A10" s="34"/>
      <c r="B10" s="54">
        <v>30</v>
      </c>
      <c r="C10" s="95">
        <v>3990</v>
      </c>
      <c r="D10" s="67"/>
      <c r="E10" s="67">
        <f>ROUND(991533.71*1.03,2)</f>
        <v>1021279.72</v>
      </c>
      <c r="F10" s="51"/>
      <c r="G10" s="51">
        <f t="shared" si="0"/>
        <v>255959.82957393484</v>
      </c>
      <c r="H10" s="37"/>
    </row>
    <row r="11" spans="1:8" s="13" customFormat="1" ht="12.75" customHeight="1" x14ac:dyDescent="0.2">
      <c r="A11" s="34"/>
      <c r="B11" s="54">
        <v>33</v>
      </c>
      <c r="C11" s="95">
        <v>4700</v>
      </c>
      <c r="D11" s="67">
        <f>ROUND(825482.7*1.03,2)</f>
        <v>850247.18</v>
      </c>
      <c r="E11" s="67">
        <f>ROUND(1122485.21*1.03,2)</f>
        <v>1156159.77</v>
      </c>
      <c r="F11" s="51">
        <f t="shared" si="1"/>
        <v>180903.65531914897</v>
      </c>
      <c r="G11" s="51">
        <f t="shared" si="0"/>
        <v>245991.44042553191</v>
      </c>
      <c r="H11" s="37"/>
    </row>
    <row r="12" spans="1:8" s="13" customFormat="1" ht="12.75" customHeight="1" x14ac:dyDescent="0.2">
      <c r="A12" s="34"/>
      <c r="B12" s="54">
        <v>35.5</v>
      </c>
      <c r="C12" s="95">
        <v>5470</v>
      </c>
      <c r="D12" s="67">
        <f>ROUND(950840.15*1.03,2)</f>
        <v>979365.35</v>
      </c>
      <c r="E12" s="67">
        <f>ROUND(1292945.39*1.03,2)</f>
        <v>1331733.75</v>
      </c>
      <c r="F12" s="51">
        <f t="shared" si="1"/>
        <v>179043.02559414989</v>
      </c>
      <c r="G12" s="51">
        <f t="shared" si="0"/>
        <v>243461.38025594151</v>
      </c>
      <c r="H12" s="37"/>
    </row>
    <row r="13" spans="1:8" s="13" customFormat="1" ht="12.75" customHeight="1" x14ac:dyDescent="0.2">
      <c r="A13" s="34"/>
      <c r="B13" s="54">
        <v>38.5</v>
      </c>
      <c r="C13" s="95">
        <v>6565</v>
      </c>
      <c r="D13" s="67">
        <f>ROUND(1136553.25*1.03,2)</f>
        <v>1170649.8500000001</v>
      </c>
      <c r="E13" s="67">
        <f>ROUND(1545476.69*1.03,2)</f>
        <v>1591840.99</v>
      </c>
      <c r="F13" s="51">
        <f t="shared" si="1"/>
        <v>178316.80883472963</v>
      </c>
      <c r="G13" s="51">
        <f t="shared" si="0"/>
        <v>242473.87509520183</v>
      </c>
      <c r="H13" s="37"/>
    </row>
    <row r="14" spans="1:8" s="13" customFormat="1" ht="12.75" customHeight="1" x14ac:dyDescent="0.2">
      <c r="A14" s="34"/>
      <c r="B14" s="54">
        <v>40.5</v>
      </c>
      <c r="C14" s="95">
        <v>7465</v>
      </c>
      <c r="D14" s="67">
        <f>ROUND(1282218.31*1.03,2)</f>
        <v>1320684.8600000001</v>
      </c>
      <c r="E14" s="67">
        <f>ROUND(1743550.88*1.03,2)</f>
        <v>1795857.41</v>
      </c>
      <c r="F14" s="51">
        <f t="shared" si="1"/>
        <v>176916.92699263227</v>
      </c>
      <c r="G14" s="51">
        <f t="shared" si="0"/>
        <v>240570.31614199595</v>
      </c>
      <c r="H14" s="37"/>
    </row>
    <row r="15" spans="1:8" s="13" customFormat="1" ht="12.75" customHeight="1" x14ac:dyDescent="0.2">
      <c r="A15" s="34"/>
      <c r="B15" s="247">
        <v>43.5</v>
      </c>
      <c r="C15" s="311">
        <v>8425</v>
      </c>
      <c r="D15" s="417">
        <f>ROUND(1441163.45*1.03,2)</f>
        <v>1484398.35</v>
      </c>
      <c r="E15" s="417">
        <f>ROUND(1959683.29*1.03,2)</f>
        <v>2018473.79</v>
      </c>
      <c r="F15" s="72">
        <f t="shared" si="1"/>
        <v>176189.71513353116</v>
      </c>
      <c r="G15" s="72">
        <f t="shared" si="0"/>
        <v>239581.45875370919</v>
      </c>
      <c r="H15" s="37"/>
    </row>
    <row r="16" spans="1:8" s="13" customFormat="1" ht="12.75" customHeight="1" x14ac:dyDescent="0.2">
      <c r="A16" s="8"/>
      <c r="B16" s="17" t="s">
        <v>132</v>
      </c>
      <c r="C16" s="19"/>
      <c r="D16" s="11"/>
      <c r="E16" s="12"/>
      <c r="F16" s="18"/>
      <c r="G16" s="18"/>
      <c r="H16" s="8"/>
    </row>
    <row r="17" spans="1:8" s="13" customFormat="1" ht="12.75" customHeight="1" x14ac:dyDescent="0.2">
      <c r="A17" s="8"/>
      <c r="B17" s="17"/>
      <c r="C17" s="19"/>
      <c r="D17" s="18"/>
      <c r="E17" s="18"/>
      <c r="F17" s="18"/>
      <c r="G17" s="145">
        <v>43435</v>
      </c>
      <c r="H17" s="8"/>
    </row>
    <row r="18" spans="1:8" s="13" customFormat="1" ht="12.75" customHeight="1" x14ac:dyDescent="0.2">
      <c r="A18" s="8"/>
      <c r="B18" s="261" t="s">
        <v>203</v>
      </c>
      <c r="C18" s="255"/>
      <c r="D18" s="255"/>
      <c r="E18" s="256"/>
      <c r="F18" s="436" t="s">
        <v>105</v>
      </c>
      <c r="G18" s="436"/>
      <c r="H18" s="8"/>
    </row>
    <row r="19" spans="1:8" s="13" customFormat="1" ht="12.75" customHeight="1" x14ac:dyDescent="0.2">
      <c r="A19" s="8"/>
      <c r="B19" s="264" t="s">
        <v>204</v>
      </c>
      <c r="C19" s="257"/>
      <c r="D19" s="257"/>
      <c r="E19" s="258"/>
      <c r="F19" s="436"/>
      <c r="G19" s="436"/>
      <c r="H19" s="8"/>
    </row>
    <row r="20" spans="1:8" s="13" customFormat="1" ht="24.75" customHeight="1" x14ac:dyDescent="0.2">
      <c r="A20" s="8"/>
      <c r="B20" s="259"/>
      <c r="C20" s="310"/>
      <c r="D20" s="262" t="s">
        <v>197</v>
      </c>
      <c r="E20" s="189"/>
      <c r="F20" s="191" t="s">
        <v>198</v>
      </c>
      <c r="G20" s="190"/>
      <c r="H20" s="8"/>
    </row>
    <row r="21" spans="1:8" s="13" customFormat="1" ht="12.75" customHeight="1" x14ac:dyDescent="0.2">
      <c r="A21" s="8"/>
      <c r="B21" s="251" t="s">
        <v>196</v>
      </c>
      <c r="C21" s="137" t="s">
        <v>195</v>
      </c>
      <c r="D21" s="309" t="s">
        <v>191</v>
      </c>
      <c r="E21" s="250" t="s">
        <v>192</v>
      </c>
      <c r="F21" s="249" t="s">
        <v>193</v>
      </c>
      <c r="G21" s="250" t="s">
        <v>194</v>
      </c>
      <c r="H21" s="8"/>
    </row>
    <row r="22" spans="1:8" s="13" customFormat="1" ht="12.75" customHeight="1" x14ac:dyDescent="0.2">
      <c r="A22" s="8"/>
      <c r="B22" s="68">
        <v>16</v>
      </c>
      <c r="C22" s="95">
        <v>1080</v>
      </c>
      <c r="D22" s="67">
        <f>ROUND(176519.79*1.03,2)</f>
        <v>181815.38</v>
      </c>
      <c r="E22" s="67">
        <f>ROUND(239996.86*1.03,2)</f>
        <v>247196.77</v>
      </c>
      <c r="F22" s="51">
        <f>D22/C22*1000</f>
        <v>168347.5740740741</v>
      </c>
      <c r="G22" s="51">
        <f t="shared" ref="G22:G42" si="2">E22/C22*1000</f>
        <v>228885.89814814812</v>
      </c>
      <c r="H22" s="39"/>
    </row>
    <row r="23" spans="1:8" s="13" customFormat="1" ht="12.75" customHeight="1" x14ac:dyDescent="0.2">
      <c r="A23" s="8"/>
      <c r="B23" s="68">
        <v>18.5</v>
      </c>
      <c r="C23" s="95">
        <v>1390</v>
      </c>
      <c r="D23" s="67">
        <f>ROUND(222205.02*1.03,2)</f>
        <v>228871.17</v>
      </c>
      <c r="E23" s="67">
        <f>ROUND(302110.56*1.03,2)</f>
        <v>311173.88</v>
      </c>
      <c r="F23" s="51">
        <f t="shared" ref="F23:F42" si="3">D23/C23*1000</f>
        <v>164655.51798561151</v>
      </c>
      <c r="G23" s="51">
        <f t="shared" si="2"/>
        <v>223866.10071942446</v>
      </c>
      <c r="H23" s="39"/>
    </row>
    <row r="24" spans="1:8" s="13" customFormat="1" ht="12.75" customHeight="1" x14ac:dyDescent="0.2">
      <c r="A24" s="8"/>
      <c r="B24" s="68">
        <v>20</v>
      </c>
      <c r="C24" s="95">
        <v>1585</v>
      </c>
      <c r="D24" s="67">
        <f>ROUND(252402.15*1.03,2)</f>
        <v>259974.21</v>
      </c>
      <c r="E24" s="67">
        <f>ROUND(343166.68*1.03,2)</f>
        <v>353461.68</v>
      </c>
      <c r="F24" s="51">
        <f t="shared" si="3"/>
        <v>164021.58359621451</v>
      </c>
      <c r="G24" s="51">
        <f t="shared" si="2"/>
        <v>223004.21451104101</v>
      </c>
      <c r="H24" s="39"/>
    </row>
    <row r="25" spans="1:8" s="13" customFormat="1" ht="12.75" customHeight="1" x14ac:dyDescent="0.2">
      <c r="A25" s="8"/>
      <c r="B25" s="68">
        <v>21</v>
      </c>
      <c r="C25" s="95">
        <v>1670</v>
      </c>
      <c r="D25" s="67">
        <f>ROUND(264081.65*1.03,2)</f>
        <v>272004.09999999998</v>
      </c>
      <c r="E25" s="67">
        <f>ROUND(359046.24*1.03,2)</f>
        <v>369817.63</v>
      </c>
      <c r="F25" s="51">
        <f t="shared" si="3"/>
        <v>162876.70658682633</v>
      </c>
      <c r="G25" s="51">
        <f t="shared" si="2"/>
        <v>221447.68263473053</v>
      </c>
      <c r="H25" s="39"/>
    </row>
    <row r="26" spans="1:8" s="13" customFormat="1" ht="12.75" customHeight="1" x14ac:dyDescent="0.2">
      <c r="A26" s="8"/>
      <c r="B26" s="68">
        <v>23</v>
      </c>
      <c r="C26" s="95">
        <v>2190</v>
      </c>
      <c r="D26" s="67">
        <f>ROUND(342009.29*1.03,2)</f>
        <v>352269.57</v>
      </c>
      <c r="E26" s="67">
        <f>ROUND(464997.43*1.03,2)</f>
        <v>478947.35</v>
      </c>
      <c r="F26" s="51">
        <f t="shared" si="3"/>
        <v>160853.68493150684</v>
      </c>
      <c r="G26" s="51">
        <f t="shared" si="2"/>
        <v>218697.42009132419</v>
      </c>
      <c r="H26" s="39"/>
    </row>
    <row r="27" spans="1:8" s="13" customFormat="1" ht="12.75" customHeight="1" x14ac:dyDescent="0.2">
      <c r="A27" s="8"/>
      <c r="B27" s="68">
        <v>24.5</v>
      </c>
      <c r="C27" s="95">
        <v>2540</v>
      </c>
      <c r="D27" s="67">
        <f>ROUND(392767.85*1.03,2)</f>
        <v>404550.89</v>
      </c>
      <c r="E27" s="67">
        <f>ROUND(534008.44*1.03,2)</f>
        <v>550028.68999999994</v>
      </c>
      <c r="F27" s="51">
        <f t="shared" si="3"/>
        <v>159272.00393700786</v>
      </c>
      <c r="G27" s="51">
        <f t="shared" si="2"/>
        <v>216546.72834645666</v>
      </c>
      <c r="H27" s="39"/>
    </row>
    <row r="28" spans="1:8" s="13" customFormat="1" ht="12.75" customHeight="1" x14ac:dyDescent="0.2">
      <c r="A28" s="8"/>
      <c r="B28" s="68">
        <v>27</v>
      </c>
      <c r="C28" s="95">
        <v>3075</v>
      </c>
      <c r="D28" s="67">
        <f>ROUND(474624.64*1.03,2)</f>
        <v>488863.38</v>
      </c>
      <c r="E28" s="67">
        <f>ROUND(645301.1*1.03,2)</f>
        <v>664660.13</v>
      </c>
      <c r="F28" s="51">
        <f>D28/C28*1000</f>
        <v>158979.96097560978</v>
      </c>
      <c r="G28" s="51">
        <f>E28/C28*1000</f>
        <v>216149.63577235772</v>
      </c>
      <c r="H28" s="39"/>
    </row>
    <row r="29" spans="1:8" s="13" customFormat="1" ht="12.75" customHeight="1" x14ac:dyDescent="0.2">
      <c r="A29" s="8"/>
      <c r="B29" s="68">
        <v>29.5</v>
      </c>
      <c r="C29" s="95">
        <v>3670</v>
      </c>
      <c r="D29" s="67">
        <f>ROUND(556624.65*1.03,2)</f>
        <v>573323.39</v>
      </c>
      <c r="E29" s="67">
        <f>ROUND(756788.62*1.03,2)</f>
        <v>779492.28</v>
      </c>
      <c r="F29" s="51">
        <f t="shared" si="3"/>
        <v>156218.90735694821</v>
      </c>
      <c r="G29" s="51">
        <f t="shared" si="2"/>
        <v>212395.71662125344</v>
      </c>
      <c r="H29" s="39"/>
    </row>
    <row r="30" spans="1:8" s="13" customFormat="1" ht="12.75" customHeight="1" x14ac:dyDescent="0.2">
      <c r="A30" s="8"/>
      <c r="B30" s="68">
        <v>31.5</v>
      </c>
      <c r="C30" s="95">
        <v>4225</v>
      </c>
      <c r="D30" s="67">
        <f>ROUND(570003.94*1.03,2)</f>
        <v>587104.06000000006</v>
      </c>
      <c r="E30" s="67">
        <f>ROUND(774979.12*1.03,2)</f>
        <v>798228.49</v>
      </c>
      <c r="F30" s="51">
        <f t="shared" si="3"/>
        <v>138959.54082840236</v>
      </c>
      <c r="G30" s="51">
        <f t="shared" si="2"/>
        <v>188929.8201183432</v>
      </c>
      <c r="H30" s="39"/>
    </row>
    <row r="31" spans="1:8" s="13" customFormat="1" ht="12.75" customHeight="1" x14ac:dyDescent="0.2">
      <c r="A31" s="8"/>
      <c r="B31" s="68">
        <v>34</v>
      </c>
      <c r="C31" s="95">
        <v>4910</v>
      </c>
      <c r="D31" s="67">
        <f>ROUND(656411.36*1.03,2)</f>
        <v>676103.7</v>
      </c>
      <c r="E31" s="67">
        <f>ROUND(892458.88*1.03,2)</f>
        <v>919232.65</v>
      </c>
      <c r="F31" s="51">
        <f t="shared" si="3"/>
        <v>137699.32790224033</v>
      </c>
      <c r="G31" s="51">
        <f t="shared" si="2"/>
        <v>187216.42566191446</v>
      </c>
      <c r="H31" s="39"/>
    </row>
    <row r="32" spans="1:8" s="13" customFormat="1" ht="12.75" customHeight="1" x14ac:dyDescent="0.2">
      <c r="A32" s="8"/>
      <c r="B32" s="68">
        <v>36</v>
      </c>
      <c r="C32" s="95">
        <v>5550</v>
      </c>
      <c r="D32" s="67">
        <f>ROUND(730975.24*1.03,2)</f>
        <v>752904.5</v>
      </c>
      <c r="E32" s="67">
        <f>ROUND(993836.19*1.03,2)</f>
        <v>1023651.28</v>
      </c>
      <c r="F32" s="51">
        <f t="shared" si="3"/>
        <v>135658.46846846846</v>
      </c>
      <c r="G32" s="51">
        <f t="shared" si="2"/>
        <v>184441.67207207208</v>
      </c>
      <c r="H32" s="39"/>
    </row>
    <row r="33" spans="1:8" s="13" customFormat="1" ht="12.75" customHeight="1" x14ac:dyDescent="0.2">
      <c r="A33" s="8"/>
      <c r="B33" s="68">
        <v>38.5</v>
      </c>
      <c r="C33" s="95">
        <v>6565</v>
      </c>
      <c r="D33" s="67">
        <f>ROUND(859205.38*1.03,2)</f>
        <v>884981.54</v>
      </c>
      <c r="E33" s="67">
        <f>ROUND(1168178.3*1.03,2)</f>
        <v>1203223.6499999999</v>
      </c>
      <c r="F33" s="51">
        <f t="shared" si="3"/>
        <v>134802.97638994668</v>
      </c>
      <c r="G33" s="51">
        <f t="shared" si="2"/>
        <v>183278.54531607006</v>
      </c>
      <c r="H33" s="39"/>
    </row>
    <row r="34" spans="1:8" s="13" customFormat="1" ht="12.75" customHeight="1" x14ac:dyDescent="0.2">
      <c r="A34" s="8"/>
      <c r="B34" s="68">
        <v>41</v>
      </c>
      <c r="C34" s="95">
        <v>7175</v>
      </c>
      <c r="D34" s="67">
        <f>ROUND(927570.99*1.03,2)</f>
        <v>955398.12</v>
      </c>
      <c r="E34" s="67">
        <f>ROUND(1261128.39*1.03,2)</f>
        <v>1298962.24</v>
      </c>
      <c r="F34" s="51">
        <f t="shared" si="3"/>
        <v>133156.53240418117</v>
      </c>
      <c r="G34" s="51">
        <f t="shared" si="2"/>
        <v>181040.03344947737</v>
      </c>
      <c r="H34" s="39"/>
    </row>
    <row r="35" spans="1:8" s="13" customFormat="1" ht="12.75" customHeight="1" x14ac:dyDescent="0.2">
      <c r="A35" s="8"/>
      <c r="B35" s="68">
        <v>44</v>
      </c>
      <c r="C35" s="95">
        <v>8065</v>
      </c>
      <c r="D35" s="67">
        <f>ROUND(1034097.49*1.03,2)</f>
        <v>1065120.4099999999</v>
      </c>
      <c r="E35" s="67">
        <f>ROUND(1405962.08*1.03,2)</f>
        <v>1448140.94</v>
      </c>
      <c r="F35" s="51">
        <f t="shared" si="3"/>
        <v>132067.00681959081</v>
      </c>
      <c r="G35" s="51">
        <f t="shared" si="2"/>
        <v>179558.70303781773</v>
      </c>
      <c r="H35" s="39"/>
    </row>
    <row r="36" spans="1:8" s="13" customFormat="1" ht="12.75" customHeight="1" x14ac:dyDescent="0.2">
      <c r="A36" s="8"/>
      <c r="B36" s="68">
        <v>45.5</v>
      </c>
      <c r="C36" s="95">
        <v>8750</v>
      </c>
      <c r="D36" s="67">
        <f>ROUND(1099334.12*1.03,2)</f>
        <v>1132314.1399999999</v>
      </c>
      <c r="E36" s="67">
        <f>ROUND(1494658.06*1.03,2)</f>
        <v>1539497.8</v>
      </c>
      <c r="F36" s="51">
        <f t="shared" si="3"/>
        <v>129407.33028571427</v>
      </c>
      <c r="G36" s="51">
        <f t="shared" si="2"/>
        <v>175942.60571428572</v>
      </c>
      <c r="H36" s="39"/>
    </row>
    <row r="37" spans="1:8" s="13" customFormat="1" ht="12.75" customHeight="1" x14ac:dyDescent="0.2">
      <c r="A37" s="8"/>
      <c r="B37" s="68">
        <v>49.5</v>
      </c>
      <c r="C37" s="95">
        <v>10500</v>
      </c>
      <c r="D37" s="67">
        <f>ROUND(1306232.24*1.03,2)</f>
        <v>1345419.21</v>
      </c>
      <c r="E37" s="67">
        <f>ROUND(1775957.43*1.03,2)</f>
        <v>1829236.15</v>
      </c>
      <c r="F37" s="51">
        <f t="shared" si="3"/>
        <v>128135.16285714286</v>
      </c>
      <c r="G37" s="51">
        <f>E37/C37*1000</f>
        <v>174212.96666666665</v>
      </c>
      <c r="H37" s="39"/>
    </row>
    <row r="38" spans="1:8" s="13" customFormat="1" ht="12.75" customHeight="1" x14ac:dyDescent="0.2">
      <c r="A38" s="8"/>
      <c r="B38" s="68">
        <v>51</v>
      </c>
      <c r="C38" s="95">
        <v>11000</v>
      </c>
      <c r="D38" s="67">
        <f>ROUND(1353874.84*1.03,2)</f>
        <v>1394491.09</v>
      </c>
      <c r="E38" s="67">
        <f>ROUND(1840732.45*1.03,2)</f>
        <v>1895954.42</v>
      </c>
      <c r="F38" s="51">
        <f t="shared" si="3"/>
        <v>126771.91727272728</v>
      </c>
      <c r="G38" s="51">
        <f t="shared" si="2"/>
        <v>172359.49272727271</v>
      </c>
      <c r="H38" s="45"/>
    </row>
    <row r="39" spans="1:8" s="13" customFormat="1" ht="12.75" customHeight="1" x14ac:dyDescent="0.2">
      <c r="A39" s="8"/>
      <c r="B39" s="68">
        <v>52</v>
      </c>
      <c r="C39" s="95">
        <v>11550</v>
      </c>
      <c r="D39" s="67">
        <f>ROUND(1411447.76*1.03,2)</f>
        <v>1453791.19</v>
      </c>
      <c r="E39" s="67">
        <f>ROUND(1919008.75*1.03,2)</f>
        <v>1976579.01</v>
      </c>
      <c r="F39" s="51">
        <f t="shared" si="3"/>
        <v>125869.3670995671</v>
      </c>
      <c r="G39" s="51">
        <f t="shared" si="2"/>
        <v>171132.38181818181</v>
      </c>
      <c r="H39" s="45"/>
    </row>
    <row r="40" spans="1:8" s="13" customFormat="1" ht="12.75" customHeight="1" x14ac:dyDescent="0.2">
      <c r="A40" s="8"/>
      <c r="B40" s="68">
        <v>54.5</v>
      </c>
      <c r="C40" s="95">
        <v>12700</v>
      </c>
      <c r="D40" s="67">
        <f>ROUND(1521563.5*1.03,2)</f>
        <v>1567210.41</v>
      </c>
      <c r="E40" s="67">
        <f>ROUND(2068722.46*1.03,2)</f>
        <v>2130784.13</v>
      </c>
      <c r="F40" s="51">
        <f t="shared" si="3"/>
        <v>123402.39448818898</v>
      </c>
      <c r="G40" s="51">
        <f t="shared" si="2"/>
        <v>167778.27795275589</v>
      </c>
      <c r="H40" s="45"/>
    </row>
    <row r="41" spans="1:8" s="13" customFormat="1" ht="12.75" customHeight="1" x14ac:dyDescent="0.2">
      <c r="A41" s="8"/>
      <c r="B41" s="68">
        <v>56</v>
      </c>
      <c r="C41" s="95">
        <v>13850</v>
      </c>
      <c r="D41" s="67"/>
      <c r="E41" s="67">
        <f>ROUND(2113065.6*1.03,2)</f>
        <v>2176457.5699999998</v>
      </c>
      <c r="F41" s="51"/>
      <c r="G41" s="51">
        <f t="shared" si="2"/>
        <v>157144.95090252705</v>
      </c>
      <c r="H41" s="45"/>
    </row>
    <row r="42" spans="1:8" s="13" customFormat="1" ht="12.75" customHeight="1" x14ac:dyDescent="0.2">
      <c r="A42" s="8"/>
      <c r="B42" s="312">
        <v>59.5</v>
      </c>
      <c r="C42" s="311">
        <v>15050</v>
      </c>
      <c r="D42" s="417">
        <f>ROUND(1637103.72*1.03,2)</f>
        <v>1686216.83</v>
      </c>
      <c r="E42" s="417">
        <f>ROUND(2225811.15*1.03,2)</f>
        <v>2292585.48</v>
      </c>
      <c r="F42" s="72">
        <f t="shared" si="3"/>
        <v>112040.98538205981</v>
      </c>
      <c r="G42" s="72">
        <f t="shared" si="2"/>
        <v>152331.2611295681</v>
      </c>
      <c r="H42" s="45"/>
    </row>
    <row r="43" spans="1:8" s="13" customFormat="1" ht="12.75" customHeight="1" x14ac:dyDescent="0.2">
      <c r="A43" s="8"/>
      <c r="B43" s="17" t="s">
        <v>230</v>
      </c>
      <c r="C43" s="46"/>
      <c r="D43" s="11"/>
      <c r="E43" s="11"/>
      <c r="F43" s="16"/>
      <c r="G43" s="16"/>
      <c r="H43" s="45"/>
    </row>
    <row r="44" spans="1:8" s="13" customFormat="1" ht="12.75" customHeight="1" x14ac:dyDescent="0.2">
      <c r="A44" s="8"/>
      <c r="B44" s="9"/>
      <c r="C44" s="46"/>
      <c r="D44" s="11"/>
      <c r="E44" s="11"/>
      <c r="F44" s="16"/>
      <c r="G44" s="16"/>
      <c r="H44" s="45"/>
    </row>
    <row r="45" spans="1:8" ht="12.75" customHeight="1" x14ac:dyDescent="0.2">
      <c r="G45" s="145">
        <v>43435</v>
      </c>
      <c r="H45" s="45"/>
    </row>
    <row r="46" spans="1:8" ht="12.75" customHeight="1" x14ac:dyDescent="0.2">
      <c r="B46" s="261" t="s">
        <v>34</v>
      </c>
      <c r="C46" s="262"/>
      <c r="D46" s="262"/>
      <c r="E46" s="263"/>
      <c r="F46" s="436" t="s">
        <v>33</v>
      </c>
      <c r="G46" s="436"/>
      <c r="H46" s="8"/>
    </row>
    <row r="47" spans="1:8" ht="12.75" customHeight="1" x14ac:dyDescent="0.2">
      <c r="B47" s="264" t="s">
        <v>35</v>
      </c>
      <c r="C47" s="265"/>
      <c r="D47" s="265"/>
      <c r="E47" s="266"/>
      <c r="F47" s="436"/>
      <c r="G47" s="436"/>
      <c r="H47" s="8"/>
    </row>
    <row r="48" spans="1:8" ht="24.75" customHeight="1" x14ac:dyDescent="0.2">
      <c r="B48" s="307"/>
      <c r="C48" s="259"/>
      <c r="D48" s="262" t="s">
        <v>197</v>
      </c>
      <c r="E48" s="189"/>
      <c r="F48" s="191" t="s">
        <v>198</v>
      </c>
      <c r="G48" s="190"/>
      <c r="H48" s="8"/>
    </row>
    <row r="49" spans="2:9" ht="12.75" customHeight="1" x14ac:dyDescent="0.2">
      <c r="B49" s="308" t="s">
        <v>196</v>
      </c>
      <c r="C49" s="251" t="s">
        <v>195</v>
      </c>
      <c r="D49" s="309" t="s">
        <v>191</v>
      </c>
      <c r="E49" s="250" t="s">
        <v>192</v>
      </c>
      <c r="F49" s="249" t="s">
        <v>193</v>
      </c>
      <c r="G49" s="250" t="s">
        <v>194</v>
      </c>
      <c r="H49" s="8"/>
    </row>
    <row r="50" spans="2:9" ht="12.75" customHeight="1" x14ac:dyDescent="0.2">
      <c r="B50" s="50">
        <v>11.5</v>
      </c>
      <c r="C50" s="66">
        <v>425.5</v>
      </c>
      <c r="D50" s="67">
        <f>ROUND(169850.31*1.05,2)</f>
        <v>178342.83</v>
      </c>
      <c r="E50" s="67">
        <f>ROUND(224838.53*1.05,2)</f>
        <v>236080.46</v>
      </c>
      <c r="F50" s="51">
        <f>D50/C50*1000</f>
        <v>419137.08578143362</v>
      </c>
      <c r="G50" s="51">
        <f>E50/C50*1000</f>
        <v>554830.69330199761</v>
      </c>
      <c r="H50" s="37"/>
      <c r="I50" s="8"/>
    </row>
    <row r="51" spans="2:9" ht="12.75" customHeight="1" x14ac:dyDescent="0.2">
      <c r="B51" s="50">
        <v>12.5</v>
      </c>
      <c r="C51" s="66">
        <v>495.5</v>
      </c>
      <c r="D51" s="67">
        <f>ROUND(183755.14*1.05,2)</f>
        <v>192942.9</v>
      </c>
      <c r="E51" s="67">
        <f>ROUND(243244.96*1.05,2)</f>
        <v>255407.21</v>
      </c>
      <c r="F51" s="51">
        <f t="shared" ref="F51:F66" si="4">D51/C51*1000</f>
        <v>389390.31281533802</v>
      </c>
      <c r="G51" s="51">
        <f t="shared" ref="G51:G66" si="5">E51/C51*1000</f>
        <v>515453.50151362253</v>
      </c>
      <c r="H51" s="37"/>
      <c r="I51" s="8"/>
    </row>
    <row r="52" spans="2:9" ht="12.75" customHeight="1" x14ac:dyDescent="0.2">
      <c r="B52" s="50">
        <v>13.5</v>
      </c>
      <c r="C52" s="66">
        <v>570.5</v>
      </c>
      <c r="D52" s="67">
        <f>ROUND(193015*1.05,2)</f>
        <v>202665.75</v>
      </c>
      <c r="E52" s="67">
        <f>ROUND(255063.83*1.05,2)</f>
        <v>267817.02</v>
      </c>
      <c r="F52" s="51">
        <f t="shared" si="4"/>
        <v>355242.33128834359</v>
      </c>
      <c r="G52" s="51">
        <f t="shared" si="5"/>
        <v>469442.62927256798</v>
      </c>
      <c r="H52" s="37"/>
      <c r="I52" s="8"/>
    </row>
    <row r="53" spans="2:9" ht="12.75" customHeight="1" x14ac:dyDescent="0.2">
      <c r="B53" s="50">
        <v>14.5</v>
      </c>
      <c r="C53" s="66">
        <v>652</v>
      </c>
      <c r="D53" s="67">
        <f>ROUND(212478.86*1.05,2)</f>
        <v>223102.8</v>
      </c>
      <c r="E53" s="67">
        <f>ROUND(281394.2*1.05,2)</f>
        <v>295463.90999999997</v>
      </c>
      <c r="F53" s="51">
        <f t="shared" si="4"/>
        <v>342182.20858895703</v>
      </c>
      <c r="G53" s="51">
        <f t="shared" si="5"/>
        <v>453165.5061349693</v>
      </c>
      <c r="H53" s="37"/>
      <c r="I53" s="8"/>
    </row>
    <row r="54" spans="2:9" ht="12.75" customHeight="1" x14ac:dyDescent="0.2">
      <c r="B54" s="50">
        <v>16</v>
      </c>
      <c r="C54" s="66">
        <v>805</v>
      </c>
      <c r="D54" s="67">
        <f>ROUND(236714*1.05,2)</f>
        <v>248549.7</v>
      </c>
      <c r="E54" s="67">
        <f>ROUND(313541.23*1.05,2)</f>
        <v>329218.28999999998</v>
      </c>
      <c r="F54" s="51">
        <f t="shared" si="4"/>
        <v>308757.39130434784</v>
      </c>
      <c r="G54" s="51">
        <f t="shared" si="5"/>
        <v>408966.81987577636</v>
      </c>
      <c r="H54" s="37"/>
      <c r="I54" s="8"/>
    </row>
    <row r="55" spans="2:9" ht="12.75" customHeight="1" x14ac:dyDescent="0.2">
      <c r="B55" s="50">
        <v>17</v>
      </c>
      <c r="C55" s="66">
        <v>900</v>
      </c>
      <c r="D55" s="67">
        <f>ROUND(258144.07*1.05,2)</f>
        <v>271051.27</v>
      </c>
      <c r="E55" s="67">
        <f>ROUND(343515.16*1.05,2)</f>
        <v>360690.92</v>
      </c>
      <c r="F55" s="51">
        <f t="shared" si="4"/>
        <v>301168.0777777778</v>
      </c>
      <c r="G55" s="51">
        <f t="shared" si="5"/>
        <v>400767.68888888886</v>
      </c>
      <c r="H55" s="37"/>
      <c r="I55" s="8"/>
    </row>
    <row r="56" spans="2:9" ht="12.75" customHeight="1" x14ac:dyDescent="0.2">
      <c r="B56" s="50">
        <v>19</v>
      </c>
      <c r="C56" s="95">
        <v>1090</v>
      </c>
      <c r="D56" s="67">
        <f>ROUND(280097.29*1.05,2)</f>
        <v>294102.15000000002</v>
      </c>
      <c r="E56" s="67">
        <f>ROUND(370876.06*1.05,2)</f>
        <v>389419.86</v>
      </c>
      <c r="F56" s="51">
        <f t="shared" si="4"/>
        <v>269818.48623853218</v>
      </c>
      <c r="G56" s="51">
        <f t="shared" si="5"/>
        <v>357265.92660550453</v>
      </c>
      <c r="H56" s="37"/>
      <c r="I56" s="8"/>
    </row>
    <row r="57" spans="2:9" ht="12.75" customHeight="1" x14ac:dyDescent="0.2">
      <c r="B57" s="50">
        <v>25</v>
      </c>
      <c r="C57" s="95">
        <v>1975</v>
      </c>
      <c r="D57" s="67">
        <f>ROUND(410710.68*1.05,2)</f>
        <v>431246.21</v>
      </c>
      <c r="E57" s="67">
        <f>ROUND(540739.43*1.05,2)</f>
        <v>567776.4</v>
      </c>
      <c r="F57" s="51">
        <f t="shared" si="4"/>
        <v>218352.51139240505</v>
      </c>
      <c r="G57" s="51">
        <f t="shared" si="5"/>
        <v>287481.72151898732</v>
      </c>
      <c r="H57" s="37"/>
      <c r="I57" s="8"/>
    </row>
    <row r="58" spans="2:9" ht="12.75" customHeight="1" x14ac:dyDescent="0.2">
      <c r="B58" s="50">
        <v>28</v>
      </c>
      <c r="C58" s="95">
        <v>2355</v>
      </c>
      <c r="D58" s="67">
        <f>ROUND(426819.8*1.05,2)</f>
        <v>448160.79</v>
      </c>
      <c r="E58" s="67">
        <f>ROUND(563669.77*1.05,2)</f>
        <v>591853.26</v>
      </c>
      <c r="F58" s="51">
        <f t="shared" si="4"/>
        <v>190301.82165605095</v>
      </c>
      <c r="G58" s="51">
        <f t="shared" si="5"/>
        <v>251317.73248407643</v>
      </c>
      <c r="H58" s="37"/>
      <c r="I58" s="8"/>
    </row>
    <row r="59" spans="2:9" ht="12.75" customHeight="1" x14ac:dyDescent="0.2">
      <c r="B59" s="50">
        <v>30</v>
      </c>
      <c r="C59" s="95">
        <v>2770</v>
      </c>
      <c r="D59" s="67">
        <f>ROUND(472495.34*1.05,2)</f>
        <v>496120.11</v>
      </c>
      <c r="E59" s="67">
        <f>ROUND(626388.81*1.05,2)</f>
        <v>657708.25</v>
      </c>
      <c r="F59" s="51">
        <f t="shared" si="4"/>
        <v>179104.73285198555</v>
      </c>
      <c r="G59" s="51">
        <f t="shared" si="5"/>
        <v>237439.80144404332</v>
      </c>
      <c r="H59" s="37"/>
      <c r="I59" s="8"/>
    </row>
    <row r="60" spans="2:9" ht="12.75" customHeight="1" x14ac:dyDescent="0.2">
      <c r="B60" s="50">
        <v>34</v>
      </c>
      <c r="C60" s="95">
        <v>3565</v>
      </c>
      <c r="D60" s="67">
        <f>ROUND(566678.16*1.05,2)</f>
        <v>595012.06999999995</v>
      </c>
      <c r="E60" s="67">
        <f>ROUND(741587.36*1.05,2)</f>
        <v>778666.73</v>
      </c>
      <c r="F60" s="51">
        <f t="shared" si="4"/>
        <v>166903.80645161288</v>
      </c>
      <c r="G60" s="51">
        <f t="shared" si="5"/>
        <v>218419.84011220196</v>
      </c>
      <c r="H60" s="37"/>
      <c r="I60" s="8"/>
    </row>
    <row r="61" spans="2:9" ht="12.75" customHeight="1" x14ac:dyDescent="0.2">
      <c r="B61" s="50">
        <v>39</v>
      </c>
      <c r="C61" s="95">
        <v>4610</v>
      </c>
      <c r="D61" s="67">
        <f>ROUND(690844.11*1.05,2)</f>
        <v>725386.32</v>
      </c>
      <c r="E61" s="67">
        <f>ROUND(901420.94*1.05,2)</f>
        <v>946491.99</v>
      </c>
      <c r="F61" s="51">
        <f t="shared" si="4"/>
        <v>157350.61171366592</v>
      </c>
      <c r="G61" s="51">
        <f t="shared" si="5"/>
        <v>205312.7960954447</v>
      </c>
      <c r="H61" s="37"/>
      <c r="I61" s="8"/>
    </row>
    <row r="62" spans="2:9" ht="12.75" customHeight="1" x14ac:dyDescent="0.2">
      <c r="B62" s="50">
        <v>43</v>
      </c>
      <c r="C62" s="95">
        <v>5625</v>
      </c>
      <c r="D62" s="67">
        <f>ROUND(806230.97*1.05,2)</f>
        <v>846542.52</v>
      </c>
      <c r="E62" s="67">
        <f>ROUND(1051326.25*1.05,2)</f>
        <v>1103892.56</v>
      </c>
      <c r="F62" s="51">
        <f t="shared" si="4"/>
        <v>150496.448</v>
      </c>
      <c r="G62" s="51">
        <f t="shared" si="5"/>
        <v>196247.56622222223</v>
      </c>
      <c r="H62" s="37"/>
      <c r="I62" s="8"/>
    </row>
    <row r="63" spans="2:9" ht="12.75" customHeight="1" x14ac:dyDescent="0.2">
      <c r="B63" s="50">
        <v>51</v>
      </c>
      <c r="C63" s="95">
        <v>7905</v>
      </c>
      <c r="D63" s="67">
        <f>ROUND(1070965.55*1.05,2)</f>
        <v>1124513.83</v>
      </c>
      <c r="E63" s="67">
        <f>ROUND(1392330.29*1.05,2)</f>
        <v>1461946.8</v>
      </c>
      <c r="F63" s="51">
        <f t="shared" si="4"/>
        <v>142253.48893105629</v>
      </c>
      <c r="G63" s="51">
        <f t="shared" si="5"/>
        <v>184939.50664136623</v>
      </c>
      <c r="H63" s="37"/>
      <c r="I63" s="8"/>
    </row>
    <row r="64" spans="2:9" ht="12.75" customHeight="1" x14ac:dyDescent="0.2">
      <c r="B64" s="50">
        <v>59.5</v>
      </c>
      <c r="C64" s="95">
        <v>10850</v>
      </c>
      <c r="D64" s="67">
        <f>ROUND(1414607.16*1.05,2)</f>
        <v>1485337.52</v>
      </c>
      <c r="E64" s="67">
        <f>ROUND(1814523.89*1.05,2)</f>
        <v>1905250.08</v>
      </c>
      <c r="F64" s="51">
        <f t="shared" si="4"/>
        <v>136897.46728110602</v>
      </c>
      <c r="G64" s="51">
        <f t="shared" si="5"/>
        <v>175599.08571428573</v>
      </c>
      <c r="H64" s="37"/>
      <c r="I64" s="8"/>
    </row>
    <row r="65" spans="2:9" ht="12.75" customHeight="1" x14ac:dyDescent="0.2">
      <c r="B65" s="50">
        <v>64.5</v>
      </c>
      <c r="C65" s="95">
        <v>12600</v>
      </c>
      <c r="D65" s="67">
        <f>ROUND(1641185.38*1.05,2)</f>
        <v>1723244.65</v>
      </c>
      <c r="E65" s="67">
        <f>ROUND(2052831.78*1.05,2)</f>
        <v>2155473.37</v>
      </c>
      <c r="F65" s="51">
        <f t="shared" si="4"/>
        <v>136765.44841269843</v>
      </c>
      <c r="G65" s="51">
        <f t="shared" si="5"/>
        <v>171069.31507936507</v>
      </c>
      <c r="H65" s="37"/>
      <c r="I65" s="8"/>
    </row>
    <row r="66" spans="2:9" ht="12.75" customHeight="1" x14ac:dyDescent="0.2">
      <c r="B66" s="50">
        <v>78</v>
      </c>
      <c r="C66" s="95">
        <v>18400</v>
      </c>
      <c r="D66" s="67">
        <f>ROUND(2330148.64*1.05,2)</f>
        <v>2446656.0699999998</v>
      </c>
      <c r="E66" s="67">
        <f>ROUND(2972894.57*1.05,2)</f>
        <v>3121539.3</v>
      </c>
      <c r="F66" s="51">
        <f t="shared" si="4"/>
        <v>132970.4385869565</v>
      </c>
      <c r="G66" s="51">
        <f t="shared" si="5"/>
        <v>169648.875</v>
      </c>
      <c r="H66" s="37"/>
      <c r="I66" s="8"/>
    </row>
    <row r="67" spans="2:9" ht="12.75" customHeight="1" x14ac:dyDescent="0.2">
      <c r="B67" s="76">
        <v>82</v>
      </c>
      <c r="C67" s="311">
        <v>20650</v>
      </c>
      <c r="D67" s="417">
        <f>ROUND(2607742.09*1.05,2)</f>
        <v>2738129.19</v>
      </c>
      <c r="E67" s="417">
        <f>ROUND(3327059.1*1.05,2)</f>
        <v>3493412.06</v>
      </c>
      <c r="F67" s="72">
        <f>D67/C67*1000</f>
        <v>132597.05520581114</v>
      </c>
      <c r="G67" s="72">
        <f>E67/C67*1000</f>
        <v>169172.49685230025</v>
      </c>
      <c r="H67" s="8"/>
      <c r="I67" s="8"/>
    </row>
    <row r="68" spans="2:9" x14ac:dyDescent="0.2">
      <c r="H68" s="8"/>
    </row>
    <row r="69" spans="2:9" x14ac:dyDescent="0.2">
      <c r="H69" s="8"/>
    </row>
  </sheetData>
  <mergeCells count="3">
    <mergeCell ref="F2:G3"/>
    <mergeCell ref="F18:G19"/>
    <mergeCell ref="F46:G47"/>
  </mergeCells>
  <phoneticPr fontId="0" type="noConversion"/>
  <hyperlinks>
    <hyperlink ref="H1" location="'2'!A1" display="Оглавление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81" orientation="portrait" r:id="rId1"/>
  <headerFooter alignWithMargins="0">
    <oddHeader>&amp;A</oddHeader>
  </headerFooter>
  <drawing r:id="rId2"/>
  <tableParts count="3"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H50"/>
  <sheetViews>
    <sheetView showGridLines="0" showRowColHeaders="0" view="pageBreakPreview" topLeftCell="A13" zoomScaleNormal="75" zoomScaleSheetLayoutView="100" workbookViewId="0">
      <selection activeCell="E6" sqref="E6"/>
    </sheetView>
  </sheetViews>
  <sheetFormatPr defaultColWidth="8.85546875" defaultRowHeight="12.75" x14ac:dyDescent="0.2"/>
  <cols>
    <col min="1" max="1" width="9.7109375" style="144" customWidth="1"/>
    <col min="2" max="3" width="9.7109375" style="154" customWidth="1"/>
    <col min="4" max="7" width="12.7109375" style="154" customWidth="1"/>
    <col min="8" max="8" width="10.7109375" style="154" bestFit="1" customWidth="1"/>
    <col min="9" max="16384" width="8.85546875" style="154"/>
  </cols>
  <sheetData>
    <row r="1" spans="1:8" x14ac:dyDescent="0.2">
      <c r="G1" s="145">
        <v>43435</v>
      </c>
      <c r="H1" s="146" t="s">
        <v>114</v>
      </c>
    </row>
    <row r="2" spans="1:8" x14ac:dyDescent="0.2">
      <c r="B2" s="313" t="s">
        <v>37</v>
      </c>
      <c r="C2" s="314"/>
      <c r="D2" s="314"/>
      <c r="E2" s="315"/>
      <c r="F2" s="449" t="s">
        <v>36</v>
      </c>
      <c r="G2" s="449"/>
      <c r="H2" s="144"/>
    </row>
    <row r="3" spans="1:8" x14ac:dyDescent="0.2">
      <c r="B3" s="316" t="s">
        <v>38</v>
      </c>
      <c r="C3" s="317"/>
      <c r="D3" s="317"/>
      <c r="E3" s="318"/>
      <c r="F3" s="449"/>
      <c r="G3" s="449"/>
      <c r="H3" s="144"/>
    </row>
    <row r="4" spans="1:8" ht="24.95" customHeight="1" x14ac:dyDescent="0.2">
      <c r="B4" s="413"/>
      <c r="C4" s="412"/>
      <c r="D4" s="262" t="s">
        <v>197</v>
      </c>
      <c r="E4" s="189"/>
      <c r="F4" s="191" t="s">
        <v>198</v>
      </c>
      <c r="G4" s="190"/>
      <c r="H4" s="144"/>
    </row>
    <row r="5" spans="1:8" ht="12.75" customHeight="1" x14ac:dyDescent="0.2">
      <c r="A5" s="276"/>
      <c r="B5" s="328" t="s">
        <v>196</v>
      </c>
      <c r="C5" s="305" t="s">
        <v>195</v>
      </c>
      <c r="D5" s="288" t="s">
        <v>191</v>
      </c>
      <c r="E5" s="289" t="s">
        <v>192</v>
      </c>
      <c r="F5" s="288" t="s">
        <v>193</v>
      </c>
      <c r="G5" s="289" t="s">
        <v>194</v>
      </c>
      <c r="H5" s="144"/>
    </row>
    <row r="6" spans="1:8" ht="15" customHeight="1" x14ac:dyDescent="0.2">
      <c r="A6" s="277"/>
      <c r="B6" s="319">
        <v>8.1</v>
      </c>
      <c r="C6" s="319">
        <v>236.5</v>
      </c>
      <c r="D6" s="418">
        <f>ROUND(48946.04*1.05,2)</f>
        <v>51393.34</v>
      </c>
      <c r="E6" s="418">
        <f>ROUND(64693.54*1.05,2)</f>
        <v>67928.22</v>
      </c>
      <c r="F6" s="320">
        <f>D6/C6*1000</f>
        <v>217307.99154334035</v>
      </c>
      <c r="G6" s="320">
        <f t="shared" ref="G6:G24" si="0">E6/C6*1000</f>
        <v>287222.91754756874</v>
      </c>
      <c r="H6" s="157"/>
    </row>
    <row r="7" spans="1:8" ht="15" customHeight="1" x14ac:dyDescent="0.2">
      <c r="A7" s="280"/>
      <c r="B7" s="319">
        <v>9.6999999999999993</v>
      </c>
      <c r="C7" s="319">
        <v>342.5</v>
      </c>
      <c r="D7" s="418">
        <f>ROUND(58474.36*1.05,2)</f>
        <v>61398.080000000002</v>
      </c>
      <c r="E7" s="418">
        <f>ROUND(77272.2*1.05,2)</f>
        <v>81135.81</v>
      </c>
      <c r="F7" s="320">
        <f t="shared" ref="F7:F24" si="1">D7/C7*1000</f>
        <v>179264.46715328467</v>
      </c>
      <c r="G7" s="320">
        <f t="shared" si="0"/>
        <v>236892.87591240875</v>
      </c>
      <c r="H7" s="157"/>
    </row>
    <row r="8" spans="1:8" ht="15" customHeight="1" x14ac:dyDescent="0.2">
      <c r="A8" s="280"/>
      <c r="B8" s="319">
        <v>11.5</v>
      </c>
      <c r="C8" s="319">
        <v>464</v>
      </c>
      <c r="D8" s="418">
        <f>ROUND(71082.87*1.05,2)</f>
        <v>74637.009999999995</v>
      </c>
      <c r="E8" s="418">
        <f>ROUND(93961.52*1.05,2)</f>
        <v>98659.6</v>
      </c>
      <c r="F8" s="320">
        <f t="shared" si="1"/>
        <v>160855.62499999997</v>
      </c>
      <c r="G8" s="320">
        <f t="shared" si="0"/>
        <v>212628.44827586206</v>
      </c>
      <c r="H8" s="157"/>
    </row>
    <row r="9" spans="1:8" ht="15" customHeight="1" x14ac:dyDescent="0.2">
      <c r="A9" s="280"/>
      <c r="B9" s="319">
        <v>13</v>
      </c>
      <c r="C9" s="319">
        <v>605</v>
      </c>
      <c r="D9" s="418">
        <f>ROUND(83901.61*1.05,2)</f>
        <v>88096.69</v>
      </c>
      <c r="E9" s="418">
        <f>ROUND(110900.15*1.05,2)</f>
        <v>116445.16</v>
      </c>
      <c r="F9" s="320">
        <f t="shared" si="1"/>
        <v>145614.36363636365</v>
      </c>
      <c r="G9" s="320">
        <f t="shared" si="0"/>
        <v>192471.33884297521</v>
      </c>
      <c r="H9" s="157"/>
    </row>
    <row r="10" spans="1:8" ht="15" customHeight="1" x14ac:dyDescent="0.2">
      <c r="A10" s="280"/>
      <c r="B10" s="319">
        <v>14.5</v>
      </c>
      <c r="C10" s="319">
        <v>763.5</v>
      </c>
      <c r="D10" s="418">
        <f>ROUND(97449.14*1.05,2)</f>
        <v>102321.60000000001</v>
      </c>
      <c r="E10" s="418">
        <f>ROUND(128838.2*1.05,2)</f>
        <v>135280.10999999999</v>
      </c>
      <c r="F10" s="320">
        <f t="shared" si="1"/>
        <v>134016.50294695483</v>
      </c>
      <c r="G10" s="320">
        <f t="shared" si="0"/>
        <v>177184.16502946953</v>
      </c>
      <c r="H10" s="157"/>
    </row>
    <row r="11" spans="1:8" ht="15" customHeight="1" x14ac:dyDescent="0.2">
      <c r="A11" s="280"/>
      <c r="B11" s="319">
        <v>16</v>
      </c>
      <c r="C11" s="319">
        <v>941.5</v>
      </c>
      <c r="D11" s="418">
        <f>ROUND(118934.98*1.05,2)</f>
        <v>124881.73</v>
      </c>
      <c r="E11" s="418">
        <f>ROUND(157196.62*1.05,2)</f>
        <v>165056.45000000001</v>
      </c>
      <c r="F11" s="320">
        <f t="shared" si="1"/>
        <v>132641.2426978226</v>
      </c>
      <c r="G11" s="320">
        <f t="shared" si="0"/>
        <v>175312.21455124801</v>
      </c>
      <c r="H11" s="157"/>
    </row>
    <row r="12" spans="1:8" ht="15" customHeight="1" x14ac:dyDescent="0.2">
      <c r="A12" s="280"/>
      <c r="B12" s="319">
        <v>17.5</v>
      </c>
      <c r="C12" s="319">
        <v>1140</v>
      </c>
      <c r="D12" s="418">
        <f>ROUND(138254.98*1.05,2)</f>
        <v>145167.73000000001</v>
      </c>
      <c r="E12" s="418">
        <f>ROUND(182793.15*1.05,2)</f>
        <v>191932.81</v>
      </c>
      <c r="F12" s="320">
        <f t="shared" si="1"/>
        <v>127340.11403508772</v>
      </c>
      <c r="G12" s="320">
        <f t="shared" si="0"/>
        <v>168362.11403508772</v>
      </c>
      <c r="H12" s="157"/>
    </row>
    <row r="13" spans="1:8" ht="15" customHeight="1" x14ac:dyDescent="0.2">
      <c r="A13" s="280"/>
      <c r="B13" s="319">
        <v>19.5</v>
      </c>
      <c r="C13" s="319">
        <v>1357.5</v>
      </c>
      <c r="D13" s="418">
        <f>ROUND(157815.88*1.05,2)</f>
        <v>165706.67000000001</v>
      </c>
      <c r="E13" s="418">
        <f>ROUND(208562.77*1.05,2)</f>
        <v>218990.91</v>
      </c>
      <c r="F13" s="320">
        <f t="shared" si="1"/>
        <v>122067.52854511971</v>
      </c>
      <c r="G13" s="320">
        <f t="shared" si="0"/>
        <v>161319.27071823206</v>
      </c>
      <c r="H13" s="157"/>
    </row>
    <row r="14" spans="1:8" ht="15" customHeight="1" x14ac:dyDescent="0.2">
      <c r="A14" s="280"/>
      <c r="B14" s="319">
        <v>21</v>
      </c>
      <c r="C14" s="319">
        <v>1594</v>
      </c>
      <c r="D14" s="418">
        <f>ROUND(183228.98*1.05,2)</f>
        <v>192390.43</v>
      </c>
      <c r="E14" s="418">
        <f>ROUND(242307.16*1.05,2)</f>
        <v>254422.52</v>
      </c>
      <c r="F14" s="320">
        <f t="shared" si="1"/>
        <v>120696.63111668757</v>
      </c>
      <c r="G14" s="320">
        <f t="shared" si="0"/>
        <v>159612.62233375158</v>
      </c>
      <c r="H14" s="157"/>
    </row>
    <row r="15" spans="1:8" ht="15" customHeight="1" x14ac:dyDescent="0.2">
      <c r="A15" s="280"/>
      <c r="B15" s="319">
        <v>22.5</v>
      </c>
      <c r="C15" s="319">
        <v>1857</v>
      </c>
      <c r="D15" s="418">
        <f>ROUND(203679.45*1.05,2)</f>
        <v>213863.42</v>
      </c>
      <c r="E15" s="418">
        <f>ROUND(269302.4*1.05,2)</f>
        <v>282767.52</v>
      </c>
      <c r="F15" s="320">
        <f t="shared" si="1"/>
        <v>115166.08508346796</v>
      </c>
      <c r="G15" s="320">
        <f t="shared" si="0"/>
        <v>152271.14701130858</v>
      </c>
      <c r="H15" s="157"/>
    </row>
    <row r="16" spans="1:8" ht="15" customHeight="1" x14ac:dyDescent="0.2">
      <c r="A16" s="280"/>
      <c r="B16" s="319">
        <v>24</v>
      </c>
      <c r="C16" s="319">
        <v>2132</v>
      </c>
      <c r="D16" s="418">
        <f>ROUND(229003.15*1.05,2)</f>
        <v>240453.31</v>
      </c>
      <c r="E16" s="418">
        <f>ROUND(302573.53*1.05,2)</f>
        <v>317702.21000000002</v>
      </c>
      <c r="F16" s="320">
        <f t="shared" si="1"/>
        <v>112782.97842401502</v>
      </c>
      <c r="G16" s="320">
        <f t="shared" si="0"/>
        <v>149016.04596622891</v>
      </c>
      <c r="H16" s="157"/>
    </row>
    <row r="17" spans="1:8" ht="15" customHeight="1" x14ac:dyDescent="0.2">
      <c r="A17" s="280"/>
      <c r="B17" s="319">
        <v>25.5</v>
      </c>
      <c r="C17" s="319">
        <v>2426</v>
      </c>
      <c r="D17" s="418">
        <f>ROUND(260095.49*1.05,2)</f>
        <v>273100.26</v>
      </c>
      <c r="E17" s="418">
        <f>ROUND(343773.31*1.05,2)</f>
        <v>360961.98</v>
      </c>
      <c r="F17" s="320">
        <f t="shared" si="1"/>
        <v>112572.24237427866</v>
      </c>
      <c r="G17" s="320">
        <f t="shared" si="0"/>
        <v>148788.94476504534</v>
      </c>
      <c r="H17" s="157"/>
    </row>
    <row r="18" spans="1:8" ht="15" customHeight="1" x14ac:dyDescent="0.2">
      <c r="A18" s="280"/>
      <c r="B18" s="319">
        <v>27.5</v>
      </c>
      <c r="C18" s="319">
        <v>2739</v>
      </c>
      <c r="D18" s="418">
        <f>ROUND(293600.27*1.05,2)</f>
        <v>308280.28000000003</v>
      </c>
      <c r="E18" s="418">
        <f>ROUND(388061.06*1.05,2)</f>
        <v>407464.11</v>
      </c>
      <c r="F18" s="320">
        <f t="shared" si="1"/>
        <v>112552.12851405624</v>
      </c>
      <c r="G18" s="320">
        <f t="shared" si="0"/>
        <v>148763.82256297919</v>
      </c>
      <c r="H18" s="157"/>
    </row>
    <row r="19" spans="1:8" ht="15" customHeight="1" x14ac:dyDescent="0.2">
      <c r="A19" s="280"/>
      <c r="B19" s="319">
        <v>29</v>
      </c>
      <c r="C19" s="319">
        <v>3071</v>
      </c>
      <c r="D19" s="418">
        <f>ROUND(328130.44*1.05,2)</f>
        <v>344536.96</v>
      </c>
      <c r="E19" s="418">
        <f>ROUND(433607.05*1.05,2)</f>
        <v>455287.4</v>
      </c>
      <c r="F19" s="320">
        <f t="shared" si="1"/>
        <v>112190.47867144253</v>
      </c>
      <c r="G19" s="320">
        <f t="shared" si="0"/>
        <v>148253.79355258876</v>
      </c>
      <c r="H19" s="157"/>
    </row>
    <row r="20" spans="1:8" ht="15" customHeight="1" x14ac:dyDescent="0.2">
      <c r="A20" s="280"/>
      <c r="B20" s="319">
        <v>32</v>
      </c>
      <c r="C20" s="319">
        <v>3768</v>
      </c>
      <c r="D20" s="418">
        <f>ROUND(395735.69*1.05,2)</f>
        <v>415522.47</v>
      </c>
      <c r="E20" s="418">
        <f>ROUND(523259.85*1.05,2)</f>
        <v>549422.84</v>
      </c>
      <c r="F20" s="320">
        <f t="shared" si="1"/>
        <v>110276.66401273885</v>
      </c>
      <c r="G20" s="320">
        <f t="shared" si="0"/>
        <v>145812.85562632696</v>
      </c>
      <c r="H20" s="157"/>
    </row>
    <row r="21" spans="1:8" ht="15" customHeight="1" x14ac:dyDescent="0.2">
      <c r="A21" s="280"/>
      <c r="B21" s="319">
        <v>35.5</v>
      </c>
      <c r="C21" s="319">
        <v>4562.5</v>
      </c>
      <c r="D21" s="418">
        <f>ROUND(477941.62*1.05,2)</f>
        <v>501838.7</v>
      </c>
      <c r="E21" s="418">
        <f>ROUND(631761.57*1.05,2)</f>
        <v>663349.65</v>
      </c>
      <c r="F21" s="320">
        <f t="shared" si="1"/>
        <v>109992.04383561644</v>
      </c>
      <c r="G21" s="320">
        <f t="shared" si="0"/>
        <v>145391.70410958905</v>
      </c>
      <c r="H21" s="157"/>
    </row>
    <row r="22" spans="1:8" ht="15" customHeight="1" x14ac:dyDescent="0.2">
      <c r="A22" s="280"/>
      <c r="B22" s="319">
        <v>38.5</v>
      </c>
      <c r="C22" s="319">
        <v>5405</v>
      </c>
      <c r="D22" s="418">
        <f>ROUND(558221*1.05,2)</f>
        <v>586132.05000000005</v>
      </c>
      <c r="E22" s="418">
        <f>ROUND(738115.7*1.05,2)</f>
        <v>775021.49</v>
      </c>
      <c r="F22" s="320">
        <f t="shared" si="1"/>
        <v>108442.56244218317</v>
      </c>
      <c r="G22" s="320">
        <f t="shared" si="0"/>
        <v>143389.72987974097</v>
      </c>
      <c r="H22" s="157"/>
    </row>
    <row r="23" spans="1:8" ht="15" customHeight="1" x14ac:dyDescent="0.2">
      <c r="A23" s="280"/>
      <c r="B23" s="319">
        <v>42</v>
      </c>
      <c r="C23" s="319">
        <v>6349</v>
      </c>
      <c r="D23" s="418">
        <f>ROUND(626185.11*1.05,2)</f>
        <v>657494.37</v>
      </c>
      <c r="E23" s="418">
        <f>ROUND(827596.42*1.05,2)</f>
        <v>868976.24</v>
      </c>
      <c r="F23" s="320">
        <f t="shared" si="1"/>
        <v>103558.72893369035</v>
      </c>
      <c r="G23" s="320">
        <f t="shared" si="0"/>
        <v>136868.20601669556</v>
      </c>
      <c r="H23" s="157"/>
    </row>
    <row r="24" spans="1:8" ht="15" customHeight="1" x14ac:dyDescent="0.2">
      <c r="A24" s="280"/>
      <c r="B24" s="329">
        <v>45</v>
      </c>
      <c r="C24" s="329">
        <v>7397.5</v>
      </c>
      <c r="D24" s="419">
        <f>ROUND(729045.78*1.05,2)</f>
        <v>765498.07</v>
      </c>
      <c r="E24" s="419">
        <f>ROUND(963455.48*1.05,2)</f>
        <v>1011628.25</v>
      </c>
      <c r="F24" s="330">
        <f t="shared" si="1"/>
        <v>103480.64481243663</v>
      </c>
      <c r="G24" s="330">
        <f t="shared" si="0"/>
        <v>136752.72051368706</v>
      </c>
      <c r="H24" s="157"/>
    </row>
    <row r="25" spans="1:8" ht="15.6" customHeight="1" x14ac:dyDescent="0.2">
      <c r="A25" s="280"/>
      <c r="B25" s="282"/>
      <c r="C25" s="282"/>
      <c r="D25" s="283"/>
      <c r="E25" s="283"/>
      <c r="F25" s="283"/>
      <c r="G25" s="283"/>
      <c r="H25" s="157"/>
    </row>
    <row r="26" spans="1:8" ht="15.6" customHeight="1" x14ac:dyDescent="0.2">
      <c r="A26" s="280"/>
      <c r="G26" s="145">
        <v>43435</v>
      </c>
      <c r="H26" s="144"/>
    </row>
    <row r="27" spans="1:8" x14ac:dyDescent="0.2">
      <c r="A27" s="280"/>
      <c r="B27" s="321" t="s">
        <v>37</v>
      </c>
      <c r="C27" s="322"/>
      <c r="D27" s="322"/>
      <c r="E27" s="323"/>
      <c r="F27" s="449" t="s">
        <v>40</v>
      </c>
      <c r="G27" s="449"/>
      <c r="H27" s="144"/>
    </row>
    <row r="28" spans="1:8" x14ac:dyDescent="0.2">
      <c r="A28" s="280"/>
      <c r="B28" s="324" t="s">
        <v>41</v>
      </c>
      <c r="C28" s="325"/>
      <c r="D28" s="325"/>
      <c r="E28" s="326"/>
      <c r="F28" s="449"/>
      <c r="G28" s="449"/>
      <c r="H28" s="144"/>
    </row>
    <row r="29" spans="1:8" ht="24.75" customHeight="1" x14ac:dyDescent="0.2">
      <c r="A29" s="280"/>
      <c r="B29" s="413"/>
      <c r="C29" s="412"/>
      <c r="D29" s="262" t="s">
        <v>197</v>
      </c>
      <c r="E29" s="189"/>
      <c r="F29" s="191" t="s">
        <v>198</v>
      </c>
      <c r="G29" s="190"/>
      <c r="H29" s="144"/>
    </row>
    <row r="30" spans="1:8" ht="12.75" customHeight="1" x14ac:dyDescent="0.2">
      <c r="A30" s="280"/>
      <c r="B30" s="328" t="s">
        <v>196</v>
      </c>
      <c r="C30" s="305" t="s">
        <v>195</v>
      </c>
      <c r="D30" s="288" t="s">
        <v>191</v>
      </c>
      <c r="E30" s="289" t="s">
        <v>192</v>
      </c>
      <c r="F30" s="288" t="s">
        <v>193</v>
      </c>
      <c r="G30" s="289" t="s">
        <v>194</v>
      </c>
      <c r="H30" s="144"/>
    </row>
    <row r="31" spans="1:8" x14ac:dyDescent="0.2">
      <c r="B31" s="319">
        <v>9.5</v>
      </c>
      <c r="C31" s="327">
        <v>371</v>
      </c>
      <c r="D31" s="418">
        <f>ROUND(74252.97*1.05,2)</f>
        <v>77965.62</v>
      </c>
      <c r="E31" s="418">
        <f>ROUND(98030.99*1.05,2)</f>
        <v>102932.54</v>
      </c>
      <c r="F31" s="320">
        <f t="shared" ref="F31:F49" si="2">D31/C31*1000</f>
        <v>210149.91913746629</v>
      </c>
      <c r="G31" s="320">
        <f t="shared" ref="G31:G49" si="3">E31/C31*1000</f>
        <v>277446.19946091645</v>
      </c>
      <c r="H31" s="144"/>
    </row>
    <row r="32" spans="1:8" ht="15" customHeight="1" x14ac:dyDescent="0.2">
      <c r="A32" s="276"/>
      <c r="B32" s="319">
        <v>11.5</v>
      </c>
      <c r="C32" s="319">
        <v>506.5</v>
      </c>
      <c r="D32" s="418">
        <f>ROUND(83627.36*1.05,2)</f>
        <v>87808.73</v>
      </c>
      <c r="E32" s="418">
        <f>ROUND(110428.13*1.05,2)</f>
        <v>115949.54</v>
      </c>
      <c r="F32" s="320">
        <f t="shared" si="2"/>
        <v>173363.73149062193</v>
      </c>
      <c r="G32" s="320">
        <f t="shared" si="3"/>
        <v>228923.07996051331</v>
      </c>
      <c r="H32" s="157"/>
    </row>
    <row r="33" spans="1:8" ht="15" customHeight="1" x14ac:dyDescent="0.2">
      <c r="A33" s="276"/>
      <c r="B33" s="319">
        <v>12.5</v>
      </c>
      <c r="C33" s="319">
        <v>654.5</v>
      </c>
      <c r="D33" s="418">
        <f>ROUND(97897.92*1.05,2)</f>
        <v>102792.82</v>
      </c>
      <c r="E33" s="418">
        <f>ROUND(129273.73*1.05,2)</f>
        <v>135737.42000000001</v>
      </c>
      <c r="F33" s="320">
        <f t="shared" si="2"/>
        <v>157055.49274255158</v>
      </c>
      <c r="G33" s="320">
        <f t="shared" si="3"/>
        <v>207391.01604278077</v>
      </c>
      <c r="H33" s="157"/>
    </row>
    <row r="34" spans="1:8" ht="15" customHeight="1" x14ac:dyDescent="0.2">
      <c r="A34" s="276"/>
      <c r="B34" s="319">
        <v>14</v>
      </c>
      <c r="C34" s="327">
        <v>821</v>
      </c>
      <c r="D34" s="418">
        <f>ROUND(110758.38*1.05,2)</f>
        <v>116296.3</v>
      </c>
      <c r="E34" s="418">
        <f>ROUND(146249.45*1.05,2)</f>
        <v>153561.92000000001</v>
      </c>
      <c r="F34" s="320">
        <f t="shared" si="2"/>
        <v>141652.00974421439</v>
      </c>
      <c r="G34" s="320">
        <f t="shared" si="3"/>
        <v>187042.53349573692</v>
      </c>
      <c r="H34" s="157"/>
    </row>
    <row r="35" spans="1:8" ht="15" customHeight="1" x14ac:dyDescent="0.2">
      <c r="A35" s="276"/>
      <c r="B35" s="319">
        <v>15.5</v>
      </c>
      <c r="C35" s="327">
        <v>1005</v>
      </c>
      <c r="D35" s="418">
        <f>ROUND(130346.39*1.05,2)</f>
        <v>136863.71</v>
      </c>
      <c r="E35" s="418">
        <f>ROUND(172027.14*1.05,2)</f>
        <v>180628.5</v>
      </c>
      <c r="F35" s="320">
        <f t="shared" si="2"/>
        <v>136182.79601990047</v>
      </c>
      <c r="G35" s="320">
        <f t="shared" si="3"/>
        <v>179729.85074626864</v>
      </c>
      <c r="H35" s="157"/>
    </row>
    <row r="36" spans="1:8" ht="15" customHeight="1" x14ac:dyDescent="0.2">
      <c r="A36" s="276"/>
      <c r="B36" s="319">
        <v>17</v>
      </c>
      <c r="C36" s="327">
        <v>1210</v>
      </c>
      <c r="D36" s="418">
        <f>ROUND(144501.65*1.05,2)</f>
        <v>151726.73000000001</v>
      </c>
      <c r="E36" s="418">
        <f>ROUND(190772.84*1.05,2)</f>
        <v>200311.48</v>
      </c>
      <c r="F36" s="320">
        <f t="shared" si="2"/>
        <v>125393.9917355372</v>
      </c>
      <c r="G36" s="320">
        <f t="shared" si="3"/>
        <v>165546.67768595042</v>
      </c>
      <c r="H36" s="157"/>
    </row>
    <row r="37" spans="1:8" ht="15" customHeight="1" x14ac:dyDescent="0.2">
      <c r="A37" s="276"/>
      <c r="B37" s="319">
        <v>19</v>
      </c>
      <c r="C37" s="327">
        <v>1465</v>
      </c>
      <c r="D37" s="418">
        <f>ROUND(158627.64*1.05,2)</f>
        <v>166559.01999999999</v>
      </c>
      <c r="E37" s="418">
        <f>ROUND(209366.45*1.05,2)</f>
        <v>219834.77</v>
      </c>
      <c r="F37" s="320">
        <f t="shared" si="2"/>
        <v>113692.16382252559</v>
      </c>
      <c r="G37" s="320">
        <f t="shared" si="3"/>
        <v>150057.86348122865</v>
      </c>
      <c r="H37" s="157"/>
    </row>
    <row r="38" spans="1:8" ht="15" customHeight="1" x14ac:dyDescent="0.2">
      <c r="A38" s="276"/>
      <c r="B38" s="319">
        <v>20.5</v>
      </c>
      <c r="C38" s="327">
        <v>1715</v>
      </c>
      <c r="D38" s="418">
        <f>ROUND(176911.07*1.05,2)</f>
        <v>185756.62</v>
      </c>
      <c r="E38" s="418">
        <f>ROUND(233655.64*1.05,2)</f>
        <v>245338.42</v>
      </c>
      <c r="F38" s="320">
        <f t="shared" si="2"/>
        <v>108312.89795918367</v>
      </c>
      <c r="G38" s="320">
        <f t="shared" si="3"/>
        <v>143054.472303207</v>
      </c>
      <c r="H38" s="157"/>
    </row>
    <row r="39" spans="1:8" ht="15" customHeight="1" x14ac:dyDescent="0.2">
      <c r="A39" s="276"/>
      <c r="B39" s="319">
        <v>22</v>
      </c>
      <c r="C39" s="327">
        <v>1990</v>
      </c>
      <c r="D39" s="418">
        <f>ROUND(203746.1*1.05,2)</f>
        <v>213933.41</v>
      </c>
      <c r="E39" s="418">
        <f>ROUND(269085.99*1.05,2)</f>
        <v>282540.28999999998</v>
      </c>
      <c r="F39" s="320">
        <f t="shared" si="2"/>
        <v>107504.22613065326</v>
      </c>
      <c r="G39" s="320">
        <f t="shared" si="3"/>
        <v>141980.04522613063</v>
      </c>
      <c r="H39" s="157"/>
    </row>
    <row r="40" spans="1:8" ht="15" customHeight="1" x14ac:dyDescent="0.2">
      <c r="A40" s="276"/>
      <c r="B40" s="319">
        <v>23.5</v>
      </c>
      <c r="C40" s="327">
        <v>2275</v>
      </c>
      <c r="D40" s="418">
        <f>ROUND(231621.42*1.05,2)</f>
        <v>243202.49</v>
      </c>
      <c r="E40" s="418">
        <f>ROUND(305687.58*1.05,2)</f>
        <v>320971.96000000002</v>
      </c>
      <c r="F40" s="320">
        <f t="shared" si="2"/>
        <v>106902.1934065934</v>
      </c>
      <c r="G40" s="320">
        <f t="shared" si="3"/>
        <v>141086.57582417584</v>
      </c>
      <c r="H40" s="157"/>
    </row>
    <row r="41" spans="1:8" ht="15" customHeight="1" x14ac:dyDescent="0.2">
      <c r="A41" s="276"/>
      <c r="B41" s="319">
        <v>25</v>
      </c>
      <c r="C41" s="327">
        <v>2580</v>
      </c>
      <c r="D41" s="418">
        <f>ROUND(261510.19*1.05,2)</f>
        <v>274585.7</v>
      </c>
      <c r="E41" s="418">
        <f>ROUND(345131.46*1.05,2)</f>
        <v>362388.03</v>
      </c>
      <c r="F41" s="320">
        <f t="shared" si="2"/>
        <v>106428.56589147287</v>
      </c>
      <c r="G41" s="320">
        <f t="shared" si="3"/>
        <v>140460.47674418605</v>
      </c>
      <c r="H41" s="157"/>
    </row>
    <row r="42" spans="1:8" ht="15" customHeight="1" x14ac:dyDescent="0.2">
      <c r="A42" s="276"/>
      <c r="B42" s="319">
        <v>27</v>
      </c>
      <c r="C42" s="327">
        <v>2910</v>
      </c>
      <c r="D42" s="418">
        <f>ROUND(293528.33*1.05,2)</f>
        <v>308204.75</v>
      </c>
      <c r="E42" s="418">
        <f>ROUND(387558.86*1.05,2)</f>
        <v>406936.8</v>
      </c>
      <c r="F42" s="320">
        <f t="shared" si="2"/>
        <v>105912.2852233677</v>
      </c>
      <c r="G42" s="320">
        <f t="shared" si="3"/>
        <v>139840.82474226804</v>
      </c>
      <c r="H42" s="157"/>
    </row>
    <row r="43" spans="1:8" ht="15" customHeight="1" x14ac:dyDescent="0.2">
      <c r="A43" s="276"/>
      <c r="B43" s="319">
        <v>28</v>
      </c>
      <c r="C43" s="327">
        <v>3290</v>
      </c>
      <c r="D43" s="418">
        <f>ROUND(316231.49*1.05,2)</f>
        <v>332043.06</v>
      </c>
      <c r="E43" s="418">
        <f>ROUND(429866.38*1.05,2)</f>
        <v>451359.7</v>
      </c>
      <c r="F43" s="320">
        <f t="shared" si="2"/>
        <v>100924.94224924012</v>
      </c>
      <c r="G43" s="320">
        <f t="shared" si="3"/>
        <v>137191.39817629178</v>
      </c>
      <c r="H43" s="157"/>
    </row>
    <row r="44" spans="1:8" ht="15" customHeight="1" x14ac:dyDescent="0.2">
      <c r="A44" s="276"/>
      <c r="B44" s="319">
        <v>31</v>
      </c>
      <c r="C44" s="327">
        <v>4030</v>
      </c>
      <c r="D44" s="418">
        <f>ROUND(386826.84*1.05,2)</f>
        <v>406168.18</v>
      </c>
      <c r="E44" s="418">
        <f>ROUND(525969.45*1.05,2)</f>
        <v>552267.92000000004</v>
      </c>
      <c r="F44" s="320">
        <f t="shared" si="2"/>
        <v>100786.1488833747</v>
      </c>
      <c r="G44" s="320">
        <f t="shared" si="3"/>
        <v>137039.18610421836</v>
      </c>
      <c r="H44" s="157"/>
    </row>
    <row r="45" spans="1:8" ht="15" customHeight="1" x14ac:dyDescent="0.2">
      <c r="A45" s="276"/>
      <c r="B45" s="319">
        <v>34</v>
      </c>
      <c r="C45" s="327">
        <v>4860</v>
      </c>
      <c r="D45" s="418">
        <f>ROUND(452715.17*1.05,2)</f>
        <v>475350.93</v>
      </c>
      <c r="E45" s="418">
        <f>ROUND(615770.81*1.05,2)</f>
        <v>646559.35</v>
      </c>
      <c r="F45" s="320">
        <f t="shared" si="2"/>
        <v>97808.833333333328</v>
      </c>
      <c r="G45" s="320">
        <f t="shared" si="3"/>
        <v>133036.90329218106</v>
      </c>
      <c r="H45" s="157"/>
    </row>
    <row r="46" spans="1:8" ht="15" customHeight="1" x14ac:dyDescent="0.2">
      <c r="A46" s="276"/>
      <c r="B46" s="319">
        <v>37</v>
      </c>
      <c r="C46" s="327">
        <v>5740</v>
      </c>
      <c r="D46" s="418">
        <f>ROUND(533041.3*1.05,2)</f>
        <v>559693.37</v>
      </c>
      <c r="E46" s="418">
        <f>ROUND(724714.17*1.05,2)</f>
        <v>760949.88</v>
      </c>
      <c r="F46" s="320">
        <f t="shared" si="2"/>
        <v>97507.555749128922</v>
      </c>
      <c r="G46" s="320">
        <f t="shared" si="3"/>
        <v>132569.66550522647</v>
      </c>
      <c r="H46" s="157"/>
    </row>
    <row r="47" spans="1:8" ht="15" customHeight="1" x14ac:dyDescent="0.2">
      <c r="A47" s="276"/>
      <c r="B47" s="319">
        <v>41</v>
      </c>
      <c r="C47" s="327">
        <v>6835</v>
      </c>
      <c r="D47" s="418">
        <f>ROUND(628625.4*1.05,2)</f>
        <v>660056.67000000004</v>
      </c>
      <c r="E47" s="418">
        <f>ROUND(854637.11*1.05,2)</f>
        <v>897368.97</v>
      </c>
      <c r="F47" s="320">
        <f t="shared" si="2"/>
        <v>96570.105340160939</v>
      </c>
      <c r="G47" s="320">
        <f t="shared" si="3"/>
        <v>131290.26627651791</v>
      </c>
      <c r="H47" s="157"/>
    </row>
    <row r="48" spans="1:8" ht="15" customHeight="1" x14ac:dyDescent="0.2">
      <c r="A48" s="276"/>
      <c r="B48" s="319">
        <v>44</v>
      </c>
      <c r="C48" s="327">
        <v>7930</v>
      </c>
      <c r="D48" s="418">
        <f>ROUND(713703.13*1.05,2)</f>
        <v>749388.29</v>
      </c>
      <c r="E48" s="418">
        <f>ROUND(970210.66*1.05,2)</f>
        <v>1018721.19</v>
      </c>
      <c r="F48" s="320">
        <f t="shared" si="2"/>
        <v>94500.414880201773</v>
      </c>
      <c r="G48" s="320">
        <f t="shared" si="3"/>
        <v>128464.21059268598</v>
      </c>
      <c r="H48" s="157"/>
    </row>
    <row r="49" spans="1:8" ht="15" customHeight="1" x14ac:dyDescent="0.2">
      <c r="A49" s="276"/>
      <c r="B49" s="329">
        <v>47</v>
      </c>
      <c r="C49" s="331">
        <v>9080</v>
      </c>
      <c r="D49" s="419">
        <f>ROUND(816816.12*1.05,2)</f>
        <v>857656.93</v>
      </c>
      <c r="E49" s="419">
        <f>ROUND(1110339.24*1.05,2)</f>
        <v>1165856.2</v>
      </c>
      <c r="F49" s="330">
        <f t="shared" si="2"/>
        <v>94455.609030837004</v>
      </c>
      <c r="G49" s="330">
        <f t="shared" si="3"/>
        <v>128398.25991189426</v>
      </c>
      <c r="H49" s="157"/>
    </row>
    <row r="50" spans="1:8" ht="15" customHeight="1" x14ac:dyDescent="0.2">
      <c r="A50" s="276"/>
      <c r="H50" s="157"/>
    </row>
  </sheetData>
  <mergeCells count="2">
    <mergeCell ref="F27:G28"/>
    <mergeCell ref="F2:G3"/>
  </mergeCells>
  <phoneticPr fontId="0" type="noConversion"/>
  <hyperlinks>
    <hyperlink ref="H1" location="'2'!A1" display="Оглавление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97" orientation="portrait" r:id="rId1"/>
  <headerFooter alignWithMargins="0">
    <oddHeader>&amp;A</oddHeader>
  </headerFooter>
  <drawing r:id="rId2"/>
  <tableParts count="2"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H39"/>
  <sheetViews>
    <sheetView showGridLines="0" showRowColHeaders="0" view="pageBreakPreview" zoomScaleNormal="75" zoomScaleSheetLayoutView="100" workbookViewId="0">
      <selection activeCell="B1" sqref="B1"/>
    </sheetView>
  </sheetViews>
  <sheetFormatPr defaultColWidth="8.85546875" defaultRowHeight="12.75" x14ac:dyDescent="0.2"/>
  <cols>
    <col min="1" max="1" width="9.7109375" style="8" customWidth="1"/>
    <col min="2" max="3" width="9.7109375" style="3" customWidth="1"/>
    <col min="4" max="7" width="12.7109375" style="3" customWidth="1"/>
    <col min="8" max="8" width="11.5703125" style="3" bestFit="1" customWidth="1"/>
    <col min="9" max="16384" width="8.85546875" style="3"/>
  </cols>
  <sheetData>
    <row r="1" spans="1:8" x14ac:dyDescent="0.2">
      <c r="B1" s="2"/>
      <c r="C1" s="2"/>
      <c r="D1" s="2"/>
      <c r="E1" s="2"/>
      <c r="F1" s="2"/>
      <c r="G1" s="145">
        <v>43435</v>
      </c>
      <c r="H1" s="10" t="s">
        <v>114</v>
      </c>
    </row>
    <row r="2" spans="1:8" x14ac:dyDescent="0.2">
      <c r="B2" s="261" t="s">
        <v>43</v>
      </c>
      <c r="C2" s="262"/>
      <c r="D2" s="262"/>
      <c r="E2" s="263"/>
      <c r="F2" s="436" t="s">
        <v>42</v>
      </c>
      <c r="G2" s="436"/>
      <c r="H2" s="8"/>
    </row>
    <row r="3" spans="1:8" x14ac:dyDescent="0.2">
      <c r="B3" s="264" t="s">
        <v>44</v>
      </c>
      <c r="C3" s="265"/>
      <c r="D3" s="265"/>
      <c r="E3" s="266"/>
      <c r="F3" s="436"/>
      <c r="G3" s="436"/>
      <c r="H3" s="8"/>
    </row>
    <row r="4" spans="1:8" ht="24.75" customHeight="1" x14ac:dyDescent="0.2">
      <c r="B4" s="267"/>
      <c r="C4" s="267"/>
      <c r="D4" s="262" t="s">
        <v>197</v>
      </c>
      <c r="E4" s="189"/>
      <c r="F4" s="191" t="s">
        <v>198</v>
      </c>
      <c r="G4" s="190"/>
      <c r="H4" s="8"/>
    </row>
    <row r="5" spans="1:8" x14ac:dyDescent="0.2">
      <c r="A5" s="28"/>
      <c r="B5" s="260" t="s">
        <v>196</v>
      </c>
      <c r="C5" s="260" t="s">
        <v>195</v>
      </c>
      <c r="D5" s="214" t="s">
        <v>191</v>
      </c>
      <c r="E5" s="215" t="s">
        <v>192</v>
      </c>
      <c r="F5" s="214" t="s">
        <v>193</v>
      </c>
      <c r="G5" s="215" t="s">
        <v>194</v>
      </c>
      <c r="H5" s="8"/>
    </row>
    <row r="6" spans="1:8" ht="15" customHeight="1" x14ac:dyDescent="0.2">
      <c r="A6" s="32"/>
      <c r="B6" s="53">
        <v>8.1</v>
      </c>
      <c r="C6" s="53">
        <v>253.5</v>
      </c>
      <c r="D6" s="420">
        <f>ROUND(50568.17*1.03,2)</f>
        <v>52085.22</v>
      </c>
      <c r="E6" s="420">
        <f>ROUND(59132.37*1.03,2)</f>
        <v>60906.34</v>
      </c>
      <c r="F6" s="99">
        <f t="shared" ref="F6:F39" si="0">D6/C6*1000</f>
        <v>205464.37869822487</v>
      </c>
      <c r="G6" s="99">
        <f t="shared" ref="G6:G39" si="1">E6/C6*1000</f>
        <v>240261.69625246548</v>
      </c>
      <c r="H6" s="37"/>
    </row>
    <row r="7" spans="1:8" ht="15" customHeight="1" x14ac:dyDescent="0.2">
      <c r="A7" s="25"/>
      <c r="B7" s="53">
        <v>9</v>
      </c>
      <c r="C7" s="53">
        <v>310.5</v>
      </c>
      <c r="D7" s="420">
        <f>ROUND(56641.9*1.03,2)</f>
        <v>58341.16</v>
      </c>
      <c r="E7" s="420">
        <f>ROUND(66352.62*1.03,2)</f>
        <v>68343.199999999997</v>
      </c>
      <c r="F7" s="99">
        <f t="shared" si="0"/>
        <v>187894.23510466987</v>
      </c>
      <c r="G7" s="99">
        <f t="shared" si="1"/>
        <v>220106.92431561995</v>
      </c>
      <c r="H7" s="37"/>
    </row>
    <row r="8" spans="1:8" ht="15" customHeight="1" x14ac:dyDescent="0.2">
      <c r="A8" s="25"/>
      <c r="B8" s="53">
        <v>9.6999999999999993</v>
      </c>
      <c r="C8" s="53">
        <v>383.5</v>
      </c>
      <c r="D8" s="420">
        <f>ROUND(67587.5*1.03,2)</f>
        <v>69615.13</v>
      </c>
      <c r="E8" s="420">
        <f>ROUND(78868.33*1.03,2)</f>
        <v>81234.38</v>
      </c>
      <c r="F8" s="99">
        <f t="shared" si="0"/>
        <v>181525.76271186443</v>
      </c>
      <c r="G8" s="99">
        <f t="shared" si="1"/>
        <v>211823.67666232074</v>
      </c>
      <c r="H8" s="37"/>
    </row>
    <row r="9" spans="1:8" ht="15" customHeight="1" x14ac:dyDescent="0.2">
      <c r="A9" s="25"/>
      <c r="B9" s="53">
        <v>11.5</v>
      </c>
      <c r="C9" s="53">
        <v>513</v>
      </c>
      <c r="D9" s="420">
        <f>ROUND(75326.94*1.03,2)</f>
        <v>77586.75</v>
      </c>
      <c r="E9" s="420">
        <f>ROUND(92062.75*1.03,2)</f>
        <v>94824.63</v>
      </c>
      <c r="F9" s="99">
        <f t="shared" si="0"/>
        <v>151241.22807017545</v>
      </c>
      <c r="G9" s="99">
        <f t="shared" si="1"/>
        <v>184843.33333333334</v>
      </c>
      <c r="H9" s="37"/>
    </row>
    <row r="10" spans="1:8" ht="15" customHeight="1" x14ac:dyDescent="0.2">
      <c r="A10" s="25"/>
      <c r="B10" s="53">
        <v>13.5</v>
      </c>
      <c r="C10" s="53">
        <v>696.5</v>
      </c>
      <c r="D10" s="420">
        <f>ROUND(90582.45*1.03,2)</f>
        <v>93299.92</v>
      </c>
      <c r="E10" s="420">
        <f>ROUND(114026.61*1.03,2)</f>
        <v>117447.41</v>
      </c>
      <c r="F10" s="99">
        <f t="shared" si="0"/>
        <v>133955.37688442209</v>
      </c>
      <c r="G10" s="99">
        <f t="shared" si="1"/>
        <v>168625.13998564251</v>
      </c>
      <c r="H10" s="37"/>
    </row>
    <row r="11" spans="1:8" ht="15" customHeight="1" x14ac:dyDescent="0.2">
      <c r="A11" s="25"/>
      <c r="B11" s="53">
        <v>15</v>
      </c>
      <c r="C11" s="53">
        <v>812</v>
      </c>
      <c r="D11" s="420">
        <f>ROUND(102029.02*1.03,2)</f>
        <v>105089.89</v>
      </c>
      <c r="E11" s="420">
        <f>ROUND(128436.33*1.03,2)</f>
        <v>132289.42000000001</v>
      </c>
      <c r="F11" s="99">
        <f t="shared" si="0"/>
        <v>129421.04679802955</v>
      </c>
      <c r="G11" s="99">
        <f t="shared" si="1"/>
        <v>162918.00492610838</v>
      </c>
      <c r="H11" s="37"/>
    </row>
    <row r="12" spans="1:8" ht="15" customHeight="1" x14ac:dyDescent="0.2">
      <c r="A12" s="30"/>
      <c r="B12" s="53">
        <v>16.5</v>
      </c>
      <c r="C12" s="69">
        <v>1045</v>
      </c>
      <c r="D12" s="420">
        <f>ROUND(121977.84*1.03,2)</f>
        <v>125637.18</v>
      </c>
      <c r="E12" s="420">
        <f>ROUND(158140.75*1.03,2)</f>
        <v>162884.97</v>
      </c>
      <c r="F12" s="99">
        <f t="shared" si="0"/>
        <v>120226.96650717703</v>
      </c>
      <c r="G12" s="99">
        <f t="shared" si="1"/>
        <v>155870.78468899522</v>
      </c>
      <c r="H12" s="37"/>
    </row>
    <row r="13" spans="1:8" ht="15" customHeight="1" x14ac:dyDescent="0.2">
      <c r="A13" s="30"/>
      <c r="B13" s="53">
        <v>18</v>
      </c>
      <c r="C13" s="69">
        <v>1245</v>
      </c>
      <c r="D13" s="420">
        <f>ROUND(143154.59*1.03,2)</f>
        <v>147449.23000000001</v>
      </c>
      <c r="E13" s="420">
        <f>ROUND(185558.49*1.03,2)</f>
        <v>191125.24</v>
      </c>
      <c r="F13" s="99">
        <f t="shared" si="0"/>
        <v>118433.11646586347</v>
      </c>
      <c r="G13" s="99">
        <f t="shared" si="1"/>
        <v>153514.24899598394</v>
      </c>
      <c r="H13" s="37"/>
    </row>
    <row r="14" spans="1:8" ht="15" customHeight="1" x14ac:dyDescent="0.2">
      <c r="A14" s="30"/>
      <c r="B14" s="53">
        <v>20</v>
      </c>
      <c r="C14" s="69">
        <v>1520</v>
      </c>
      <c r="D14" s="420">
        <f>ROUND(168055.17*1.03,2)</f>
        <v>173096.83</v>
      </c>
      <c r="E14" s="420">
        <f>ROUND(217881.38*1.03,2)</f>
        <v>224417.82</v>
      </c>
      <c r="F14" s="99">
        <f t="shared" si="0"/>
        <v>113879.49342105263</v>
      </c>
      <c r="G14" s="99">
        <f t="shared" si="1"/>
        <v>147643.30263157896</v>
      </c>
      <c r="H14" s="37"/>
    </row>
    <row r="15" spans="1:8" ht="15" customHeight="1" x14ac:dyDescent="0.2">
      <c r="A15" s="30"/>
      <c r="B15" s="53">
        <v>22</v>
      </c>
      <c r="C15" s="69">
        <v>1830</v>
      </c>
      <c r="D15" s="420">
        <f>ROUND(190100.48*1.03,2)</f>
        <v>195803.49</v>
      </c>
      <c r="E15" s="420">
        <f>ROUND(246374.61*1.03,2)</f>
        <v>253765.85</v>
      </c>
      <c r="F15" s="99">
        <f t="shared" si="0"/>
        <v>106996.44262295081</v>
      </c>
      <c r="G15" s="99">
        <f t="shared" si="1"/>
        <v>138669.86338797814</v>
      </c>
      <c r="H15" s="37"/>
    </row>
    <row r="16" spans="1:8" ht="15" customHeight="1" x14ac:dyDescent="0.2">
      <c r="A16" s="30"/>
      <c r="B16" s="53">
        <v>23.5</v>
      </c>
      <c r="C16" s="69">
        <v>2130</v>
      </c>
      <c r="D16" s="420">
        <f>ROUND(220190.9*1.03,2)</f>
        <v>226796.63</v>
      </c>
      <c r="E16" s="420">
        <f>ROUND(285450.73*1.03,2)</f>
        <v>294014.25</v>
      </c>
      <c r="F16" s="99">
        <f t="shared" si="0"/>
        <v>106477.2910798122</v>
      </c>
      <c r="G16" s="99">
        <f t="shared" si="1"/>
        <v>138034.85915492955</v>
      </c>
      <c r="H16" s="37"/>
    </row>
    <row r="17" spans="1:8" ht="15" customHeight="1" x14ac:dyDescent="0.2">
      <c r="A17" s="30"/>
      <c r="B17" s="53">
        <v>25.5</v>
      </c>
      <c r="C17" s="69">
        <v>2495</v>
      </c>
      <c r="D17" s="420">
        <f>ROUND(252907.32*1.03,2)</f>
        <v>260494.54</v>
      </c>
      <c r="E17" s="420">
        <f>ROUND(327858.41*1.03,2)</f>
        <v>337694.16</v>
      </c>
      <c r="F17" s="99">
        <f t="shared" si="0"/>
        <v>104406.62925851704</v>
      </c>
      <c r="G17" s="99">
        <f t="shared" si="1"/>
        <v>135348.36072144288</v>
      </c>
      <c r="H17" s="37"/>
    </row>
    <row r="18" spans="1:8" ht="15" customHeight="1" x14ac:dyDescent="0.2">
      <c r="A18" s="30"/>
      <c r="B18" s="53">
        <v>27</v>
      </c>
      <c r="C18" s="69">
        <v>2800</v>
      </c>
      <c r="D18" s="420">
        <f>ROUND(283325.72*1.03,2)</f>
        <v>291825.49</v>
      </c>
      <c r="E18" s="420">
        <f>ROUND(367009.85*1.03,2)</f>
        <v>378020.15</v>
      </c>
      <c r="F18" s="99">
        <f t="shared" si="0"/>
        <v>104223.38928571428</v>
      </c>
      <c r="G18" s="99">
        <f t="shared" si="1"/>
        <v>135007.19642857142</v>
      </c>
      <c r="H18" s="37"/>
    </row>
    <row r="19" spans="1:8" ht="15" customHeight="1" x14ac:dyDescent="0.2">
      <c r="A19" s="30"/>
      <c r="B19" s="53">
        <v>29</v>
      </c>
      <c r="C19" s="69">
        <v>3215</v>
      </c>
      <c r="D19" s="420">
        <f>ROUND(322469.12*1.03,2)</f>
        <v>332143.19</v>
      </c>
      <c r="E19" s="420">
        <f>ROUND(417743.99*1.03,2)</f>
        <v>430276.31</v>
      </c>
      <c r="F19" s="99">
        <f t="shared" si="0"/>
        <v>103310.47900466564</v>
      </c>
      <c r="G19" s="99">
        <f t="shared" si="1"/>
        <v>133834</v>
      </c>
      <c r="H19" s="37"/>
    </row>
    <row r="20" spans="1:8" ht="15" customHeight="1" x14ac:dyDescent="0.2">
      <c r="A20" s="30"/>
      <c r="B20" s="53">
        <v>31</v>
      </c>
      <c r="C20" s="69">
        <v>3655</v>
      </c>
      <c r="D20" s="420">
        <f>ROUND(363668.3*1.03,2)</f>
        <v>374578.35</v>
      </c>
      <c r="E20" s="420">
        <f>ROUND(471180.45*1.03,2)</f>
        <v>485315.86</v>
      </c>
      <c r="F20" s="99">
        <f t="shared" si="0"/>
        <v>102483.81668946648</v>
      </c>
      <c r="G20" s="99">
        <f t="shared" si="1"/>
        <v>132781.35704514364</v>
      </c>
      <c r="H20" s="37"/>
    </row>
    <row r="21" spans="1:8" ht="15" customHeight="1" x14ac:dyDescent="0.2">
      <c r="A21" s="30"/>
      <c r="B21" s="53">
        <v>33</v>
      </c>
      <c r="C21" s="69">
        <v>4155</v>
      </c>
      <c r="D21" s="420">
        <f>ROUND(412995.47*1.03,2)</f>
        <v>425385.33</v>
      </c>
      <c r="E21" s="420">
        <f>ROUND(535434.83*1.03,2)</f>
        <v>551497.87</v>
      </c>
      <c r="F21" s="99">
        <f t="shared" si="0"/>
        <v>102379.14079422383</v>
      </c>
      <c r="G21" s="99">
        <f t="shared" si="1"/>
        <v>132731.13598074607</v>
      </c>
      <c r="H21" s="37"/>
    </row>
    <row r="22" spans="1:8" ht="15" customHeight="1" x14ac:dyDescent="0.2">
      <c r="A22" s="30"/>
      <c r="B22" s="53">
        <v>34.5</v>
      </c>
      <c r="C22" s="69">
        <v>4550</v>
      </c>
      <c r="D22" s="420">
        <f>ROUND(450241.1*1.03,2)</f>
        <v>463748.33</v>
      </c>
      <c r="E22" s="420">
        <f>ROUND(583652.58*1.03,2)</f>
        <v>601162.16</v>
      </c>
      <c r="F22" s="99">
        <f t="shared" si="0"/>
        <v>101922.70989010989</v>
      </c>
      <c r="G22" s="99">
        <f t="shared" si="1"/>
        <v>132123.55164835165</v>
      </c>
      <c r="H22" s="37"/>
    </row>
    <row r="23" spans="1:8" ht="15" customHeight="1" x14ac:dyDescent="0.2">
      <c r="A23" s="30"/>
      <c r="B23" s="53">
        <v>36.5</v>
      </c>
      <c r="C23" s="69">
        <v>4965</v>
      </c>
      <c r="D23" s="420">
        <f>ROUND(489537.37*1.03,2)</f>
        <v>504223.49</v>
      </c>
      <c r="E23" s="420">
        <f>ROUND(634685.02*1.03,2)</f>
        <v>653725.56999999995</v>
      </c>
      <c r="F23" s="99">
        <f t="shared" si="0"/>
        <v>101555.58710976838</v>
      </c>
      <c r="G23" s="99">
        <f t="shared" si="1"/>
        <v>131666.78147029202</v>
      </c>
      <c r="H23" s="37"/>
    </row>
    <row r="24" spans="1:8" ht="15" customHeight="1" x14ac:dyDescent="0.2">
      <c r="A24" s="30"/>
      <c r="B24" s="53">
        <v>38</v>
      </c>
      <c r="C24" s="69">
        <v>5510</v>
      </c>
      <c r="D24" s="420">
        <f>ROUND(549831.53*1.03,2)</f>
        <v>566326.48</v>
      </c>
      <c r="E24" s="420">
        <f>ROUND(712701.15*1.03,2)</f>
        <v>734082.18</v>
      </c>
      <c r="F24" s="99">
        <f t="shared" si="0"/>
        <v>102781.57531760435</v>
      </c>
      <c r="G24" s="99">
        <f t="shared" si="1"/>
        <v>133227.25589836662</v>
      </c>
      <c r="H24" s="37"/>
    </row>
    <row r="25" spans="1:8" ht="15" customHeight="1" x14ac:dyDescent="0.2">
      <c r="A25" s="30"/>
      <c r="B25" s="53">
        <v>39.5</v>
      </c>
      <c r="C25" s="69">
        <v>6080</v>
      </c>
      <c r="D25" s="420">
        <f>ROUND(606633.53*1.03,2)</f>
        <v>624832.54</v>
      </c>
      <c r="E25" s="420">
        <f>ROUND(786135.21*1.03,2)</f>
        <v>809719.27</v>
      </c>
      <c r="F25" s="99">
        <f t="shared" si="0"/>
        <v>102768.50986842107</v>
      </c>
      <c r="G25" s="99">
        <f t="shared" si="1"/>
        <v>133177.51151315789</v>
      </c>
      <c r="H25" s="37"/>
    </row>
    <row r="26" spans="1:8" ht="15" customHeight="1" x14ac:dyDescent="0.2">
      <c r="A26" s="30"/>
      <c r="B26" s="53">
        <v>42</v>
      </c>
      <c r="C26" s="69">
        <v>6750</v>
      </c>
      <c r="D26" s="420">
        <f>ROUND(664796.8*1.03,2)</f>
        <v>684740.7</v>
      </c>
      <c r="E26" s="420">
        <f>ROUND(861441.81*1.03,2)</f>
        <v>887285.06</v>
      </c>
      <c r="F26" s="99">
        <f t="shared" si="0"/>
        <v>101443.06666666667</v>
      </c>
      <c r="G26" s="99">
        <f t="shared" si="1"/>
        <v>131449.63851851854</v>
      </c>
      <c r="H26" s="37"/>
    </row>
    <row r="27" spans="1:8" ht="15" customHeight="1" x14ac:dyDescent="0.2">
      <c r="A27" s="30"/>
      <c r="B27" s="53">
        <v>43</v>
      </c>
      <c r="C27" s="69">
        <v>7120</v>
      </c>
      <c r="D27" s="420">
        <f>ROUND(700885.13*1.03,2)</f>
        <v>721911.68</v>
      </c>
      <c r="E27" s="420">
        <f>ROUND(908109.29*1.03,2)</f>
        <v>935352.57</v>
      </c>
      <c r="F27" s="99">
        <f t="shared" si="0"/>
        <v>101392.08988764045</v>
      </c>
      <c r="G27" s="99">
        <f t="shared" si="1"/>
        <v>131369.74297752811</v>
      </c>
      <c r="H27" s="37"/>
    </row>
    <row r="28" spans="1:8" ht="15" customHeight="1" x14ac:dyDescent="0.2">
      <c r="A28" s="30"/>
      <c r="B28" s="53">
        <v>44.5</v>
      </c>
      <c r="C28" s="69">
        <v>7770</v>
      </c>
      <c r="D28" s="420">
        <f>ROUND(764822.53*1.03,2)</f>
        <v>787767.21</v>
      </c>
      <c r="E28" s="420">
        <f>ROUND(990903.66*1.03,2)</f>
        <v>1020630.77</v>
      </c>
      <c r="F28" s="99">
        <f t="shared" si="0"/>
        <v>101385.7413127413</v>
      </c>
      <c r="G28" s="99">
        <f t="shared" si="1"/>
        <v>131355.31145431145</v>
      </c>
      <c r="H28" s="37"/>
    </row>
    <row r="29" spans="1:8" ht="15" customHeight="1" x14ac:dyDescent="0.2">
      <c r="A29" s="30"/>
      <c r="B29" s="53">
        <v>46.5</v>
      </c>
      <c r="C29" s="69">
        <v>8400</v>
      </c>
      <c r="D29" s="420">
        <f>ROUND(810741.04*1.03,2)</f>
        <v>835063.27</v>
      </c>
      <c r="E29" s="420">
        <f>ROUND(1050271.11*1.03,2)</f>
        <v>1081779.24</v>
      </c>
      <c r="F29" s="99">
        <f t="shared" si="0"/>
        <v>99412.294047619056</v>
      </c>
      <c r="G29" s="99">
        <f t="shared" si="1"/>
        <v>128783.24285714285</v>
      </c>
      <c r="H29" s="37"/>
    </row>
    <row r="30" spans="1:8" ht="15" customHeight="1" x14ac:dyDescent="0.2">
      <c r="A30" s="30"/>
      <c r="B30" s="53">
        <v>48.5</v>
      </c>
      <c r="C30" s="69">
        <v>9155</v>
      </c>
      <c r="D30" s="420">
        <f>ROUND(865236.46*1.03,2)</f>
        <v>891193.55</v>
      </c>
      <c r="E30" s="420">
        <f>ROUND(1121054.8*1.03,2)</f>
        <v>1154686.44</v>
      </c>
      <c r="F30" s="99">
        <f t="shared" si="0"/>
        <v>97345.008192244684</v>
      </c>
      <c r="G30" s="99">
        <f t="shared" si="1"/>
        <v>126126.3178590934</v>
      </c>
      <c r="H30" s="37"/>
    </row>
    <row r="31" spans="1:8" ht="15" customHeight="1" x14ac:dyDescent="0.2">
      <c r="A31" s="30"/>
      <c r="B31" s="53">
        <v>50.5</v>
      </c>
      <c r="C31" s="69">
        <v>9940</v>
      </c>
      <c r="D31" s="420">
        <f>ROUND(938618.26*1.03,2)</f>
        <v>966776.81</v>
      </c>
      <c r="E31" s="420">
        <f>ROUND(1216418.3*1.03,2)</f>
        <v>1252910.8500000001</v>
      </c>
      <c r="F31" s="99">
        <f t="shared" si="0"/>
        <v>97261.248490945669</v>
      </c>
      <c r="G31" s="99">
        <f t="shared" si="1"/>
        <v>126047.36921529176</v>
      </c>
      <c r="H31" s="37"/>
    </row>
    <row r="32" spans="1:8" ht="15" customHeight="1" x14ac:dyDescent="0.2">
      <c r="A32" s="30"/>
      <c r="B32" s="53">
        <v>53.5</v>
      </c>
      <c r="C32" s="69">
        <v>11150</v>
      </c>
      <c r="D32" s="420">
        <f>ROUND(1051858.21*1.03,2)</f>
        <v>1083413.96</v>
      </c>
      <c r="E32" s="420">
        <f>ROUND(1363240.05*1.03,2)</f>
        <v>1404137.25</v>
      </c>
      <c r="F32" s="99">
        <f t="shared" si="0"/>
        <v>97167.171300448434</v>
      </c>
      <c r="G32" s="99">
        <f t="shared" si="1"/>
        <v>125931.59192825112</v>
      </c>
      <c r="H32" s="37"/>
    </row>
    <row r="33" spans="1:8" ht="15" customHeight="1" x14ac:dyDescent="0.2">
      <c r="A33" s="30"/>
      <c r="B33" s="53">
        <v>56</v>
      </c>
      <c r="C33" s="69">
        <v>12050</v>
      </c>
      <c r="D33" s="420">
        <f>ROUND(1135613.7*1.03,2)</f>
        <v>1169682.1100000001</v>
      </c>
      <c r="E33" s="420">
        <f>ROUND(1471743.75*1.03,2)</f>
        <v>1515896.06</v>
      </c>
      <c r="F33" s="99">
        <f t="shared" si="0"/>
        <v>97069.054771784242</v>
      </c>
      <c r="G33" s="99">
        <f t="shared" si="1"/>
        <v>125800.50290456433</v>
      </c>
      <c r="H33" s="37"/>
    </row>
    <row r="34" spans="1:8" ht="15" customHeight="1" x14ac:dyDescent="0.2">
      <c r="A34" s="30"/>
      <c r="B34" s="53">
        <v>58.5</v>
      </c>
      <c r="C34" s="69">
        <v>13000</v>
      </c>
      <c r="D34" s="420">
        <f>ROUND(1224661.31*1.03,2)</f>
        <v>1261401.1499999999</v>
      </c>
      <c r="E34" s="420">
        <f>ROUND(1587125.82*1.03,2)</f>
        <v>1634739.59</v>
      </c>
      <c r="F34" s="99">
        <f t="shared" si="0"/>
        <v>97030.857692307691</v>
      </c>
      <c r="G34" s="99">
        <f t="shared" si="1"/>
        <v>125749.19923076924</v>
      </c>
      <c r="H34" s="37"/>
    </row>
    <row r="35" spans="1:8" ht="15" customHeight="1" x14ac:dyDescent="0.2">
      <c r="A35" s="30"/>
      <c r="B35" s="53">
        <v>60.5</v>
      </c>
      <c r="C35" s="69">
        <v>14250</v>
      </c>
      <c r="D35" s="420">
        <f>ROUND(1337328.54*1.03,2)</f>
        <v>1377448.4</v>
      </c>
      <c r="E35" s="420">
        <f>ROUND(1733416.98*1.03,2)</f>
        <v>1785419.49</v>
      </c>
      <c r="F35" s="99">
        <f t="shared" si="0"/>
        <v>96663.045614035087</v>
      </c>
      <c r="G35" s="99">
        <f t="shared" si="1"/>
        <v>125292.59578947368</v>
      </c>
      <c r="H35" s="37"/>
    </row>
    <row r="36" spans="1:8" ht="15" customHeight="1" x14ac:dyDescent="0.2">
      <c r="A36" s="30"/>
      <c r="B36" s="53">
        <v>63</v>
      </c>
      <c r="C36" s="69">
        <v>15200</v>
      </c>
      <c r="D36" s="420">
        <f>ROUND(1425055.95*1.03,2)</f>
        <v>1467807.63</v>
      </c>
      <c r="E36" s="420">
        <f>ROUND(1846175.45*1.03,2)</f>
        <v>1901560.71</v>
      </c>
      <c r="F36" s="99">
        <f t="shared" si="0"/>
        <v>96566.291447368407</v>
      </c>
      <c r="G36" s="99">
        <f t="shared" si="1"/>
        <v>125102.67828947368</v>
      </c>
      <c r="H36" s="37"/>
    </row>
    <row r="37" spans="1:8" x14ac:dyDescent="0.2">
      <c r="A37" s="30"/>
      <c r="B37" s="53">
        <v>65</v>
      </c>
      <c r="C37" s="69">
        <v>16100</v>
      </c>
      <c r="D37" s="420">
        <f>ROUND(1508777.04*1.03,2)</f>
        <v>1554040.35</v>
      </c>
      <c r="E37" s="420">
        <f>ROUND(1955201.59*1.03,2)</f>
        <v>2013857.64</v>
      </c>
      <c r="F37" s="99">
        <f t="shared" si="0"/>
        <v>96524.245341614907</v>
      </c>
      <c r="G37" s="99">
        <f t="shared" si="1"/>
        <v>125084.3254658385</v>
      </c>
      <c r="H37" s="37"/>
    </row>
    <row r="38" spans="1:8" x14ac:dyDescent="0.2">
      <c r="A38" s="30"/>
      <c r="B38" s="53">
        <v>68</v>
      </c>
      <c r="C38" s="52">
        <v>17700</v>
      </c>
      <c r="D38" s="420">
        <f>ROUND(1654918.1*1.03,2)</f>
        <v>1704565.64</v>
      </c>
      <c r="E38" s="420">
        <f>ROUND(2143884.77*1.03,2)</f>
        <v>2208201.31</v>
      </c>
      <c r="F38" s="99">
        <f t="shared" si="0"/>
        <v>96303.143502824852</v>
      </c>
      <c r="G38" s="99">
        <f t="shared" si="1"/>
        <v>124757.13615819209</v>
      </c>
      <c r="H38" s="37"/>
    </row>
    <row r="39" spans="1:8" x14ac:dyDescent="0.2">
      <c r="A39" s="30"/>
      <c r="B39" s="70">
        <v>72</v>
      </c>
      <c r="C39" s="332">
        <v>19800</v>
      </c>
      <c r="D39" s="421">
        <f>ROUND(1841126.37*1.03,2)</f>
        <v>1896360.16</v>
      </c>
      <c r="E39" s="421">
        <f>ROUND(2385110.3*1.03,2)</f>
        <v>2456663.61</v>
      </c>
      <c r="F39" s="333">
        <f t="shared" si="0"/>
        <v>95775.765656565651</v>
      </c>
      <c r="G39" s="333">
        <f t="shared" si="1"/>
        <v>124073.91969696969</v>
      </c>
      <c r="H39" s="37"/>
    </row>
  </sheetData>
  <mergeCells count="1">
    <mergeCell ref="F2:G3"/>
  </mergeCells>
  <phoneticPr fontId="0" type="noConversion"/>
  <hyperlinks>
    <hyperlink ref="H1" location="'2'!A1" display="Оглавление"/>
  </hyperlinks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&amp;A</oddHead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H33"/>
  <sheetViews>
    <sheetView showGridLines="0" showRowColHeaders="0" view="pageBreakPreview" zoomScaleNormal="75" zoomScaleSheetLayoutView="100" workbookViewId="0">
      <selection activeCell="D28" sqref="D28"/>
    </sheetView>
  </sheetViews>
  <sheetFormatPr defaultColWidth="8.85546875" defaultRowHeight="12.75" x14ac:dyDescent="0.2"/>
  <cols>
    <col min="1" max="1" width="9.7109375" style="8" customWidth="1"/>
    <col min="2" max="3" width="9.7109375" style="1" customWidth="1"/>
    <col min="4" max="7" width="12.7109375" style="1" customWidth="1"/>
    <col min="8" max="8" width="11.5703125" style="1" bestFit="1" customWidth="1"/>
    <col min="9" max="11" width="8.85546875" style="1"/>
    <col min="12" max="12" width="9.42578125" style="1" bestFit="1" customWidth="1"/>
    <col min="13" max="16384" width="8.85546875" style="1"/>
  </cols>
  <sheetData>
    <row r="1" spans="1:8" ht="13.15" customHeight="1" x14ac:dyDescent="0.2">
      <c r="G1" s="145">
        <v>43435</v>
      </c>
      <c r="H1" s="10" t="s">
        <v>114</v>
      </c>
    </row>
    <row r="2" spans="1:8" x14ac:dyDescent="0.2">
      <c r="B2" s="261" t="s">
        <v>43</v>
      </c>
      <c r="C2" s="262"/>
      <c r="D2" s="262"/>
      <c r="E2" s="263"/>
      <c r="F2" s="450" t="s">
        <v>45</v>
      </c>
      <c r="G2" s="436"/>
      <c r="H2" s="8"/>
    </row>
    <row r="3" spans="1:8" x14ac:dyDescent="0.2">
      <c r="B3" s="264" t="s">
        <v>46</v>
      </c>
      <c r="C3" s="265"/>
      <c r="D3" s="265"/>
      <c r="E3" s="266"/>
      <c r="F3" s="450"/>
      <c r="G3" s="436"/>
      <c r="H3" s="8"/>
    </row>
    <row r="4" spans="1:8" ht="24.95" customHeight="1" x14ac:dyDescent="0.2">
      <c r="B4" s="334"/>
      <c r="C4" s="269"/>
      <c r="D4" s="262" t="s">
        <v>197</v>
      </c>
      <c r="E4" s="189"/>
      <c r="F4" s="191" t="s">
        <v>198</v>
      </c>
      <c r="G4" s="190"/>
      <c r="H4" s="8"/>
    </row>
    <row r="5" spans="1:8" x14ac:dyDescent="0.2">
      <c r="A5" s="36"/>
      <c r="B5" s="251" t="s">
        <v>196</v>
      </c>
      <c r="C5" s="138" t="s">
        <v>195</v>
      </c>
      <c r="D5" s="249" t="s">
        <v>191</v>
      </c>
      <c r="E5" s="250" t="s">
        <v>192</v>
      </c>
      <c r="F5" s="249" t="s">
        <v>193</v>
      </c>
      <c r="G5" s="250" t="s">
        <v>194</v>
      </c>
      <c r="H5" s="8"/>
    </row>
    <row r="6" spans="1:8" x14ac:dyDescent="0.2">
      <c r="A6" s="33"/>
      <c r="B6" s="53">
        <v>8.6</v>
      </c>
      <c r="C6" s="69">
        <v>328</v>
      </c>
      <c r="D6" s="49">
        <f>ROUND(67838.83*1.03,2)</f>
        <v>69873.990000000005</v>
      </c>
      <c r="E6" s="49">
        <f>ROUND(89551.23*1.03,2)</f>
        <v>92237.77</v>
      </c>
      <c r="F6" s="51">
        <f>D6/C6*1000</f>
        <v>213030.45731707319</v>
      </c>
      <c r="G6" s="51">
        <f>E6/C6*1000</f>
        <v>281212.71341463417</v>
      </c>
      <c r="H6" s="37"/>
    </row>
    <row r="7" spans="1:8" x14ac:dyDescent="0.2">
      <c r="A7" s="30"/>
      <c r="B7" s="53">
        <v>10.5</v>
      </c>
      <c r="C7" s="69">
        <v>482</v>
      </c>
      <c r="D7" s="49">
        <f>ROUND(88277.05*1.03,2)</f>
        <v>90925.36</v>
      </c>
      <c r="E7" s="49">
        <f>ROUND(116523.59*1.03,2)</f>
        <v>120019.3</v>
      </c>
      <c r="F7" s="51">
        <f t="shared" ref="F7:F33" si="0">D7/C7*1000</f>
        <v>188641.82572614111</v>
      </c>
      <c r="G7" s="51">
        <f t="shared" ref="G7:G33" si="1">E7/C7*1000</f>
        <v>249002.69709543567</v>
      </c>
      <c r="H7" s="37"/>
    </row>
    <row r="8" spans="1:8" x14ac:dyDescent="0.2">
      <c r="A8" s="30"/>
      <c r="B8" s="53">
        <v>13</v>
      </c>
      <c r="C8" s="69">
        <v>733</v>
      </c>
      <c r="D8" s="49">
        <f>ROUND(115455.72*1.03,2)</f>
        <v>118919.39</v>
      </c>
      <c r="E8" s="49">
        <f>ROUND(152464.49*1.03,2)</f>
        <v>157038.42000000001</v>
      </c>
      <c r="F8" s="51">
        <f t="shared" si="0"/>
        <v>162236.54843110504</v>
      </c>
      <c r="G8" s="51">
        <f t="shared" si="1"/>
        <v>214240.68212824015</v>
      </c>
      <c r="H8" s="37"/>
    </row>
    <row r="9" spans="1:8" x14ac:dyDescent="0.2">
      <c r="A9" s="30"/>
      <c r="B9" s="53">
        <v>14.5</v>
      </c>
      <c r="C9" s="69">
        <v>906</v>
      </c>
      <c r="D9" s="49">
        <f>ROUND(129605.37*1.03,2)</f>
        <v>133493.53</v>
      </c>
      <c r="E9" s="49">
        <f>ROUND(171050.1*1.03,2)</f>
        <v>176181.6</v>
      </c>
      <c r="F9" s="51">
        <f t="shared" si="0"/>
        <v>147343.85209713026</v>
      </c>
      <c r="G9" s="51">
        <f t="shared" si="1"/>
        <v>194460.92715231789</v>
      </c>
      <c r="H9" s="37"/>
    </row>
    <row r="10" spans="1:8" x14ac:dyDescent="0.2">
      <c r="A10" s="30"/>
      <c r="B10" s="53">
        <v>16</v>
      </c>
      <c r="C10" s="69">
        <v>1145</v>
      </c>
      <c r="D10" s="49">
        <f>ROUND(158303.73*1.03,2)</f>
        <v>163052.84</v>
      </c>
      <c r="E10" s="49">
        <f>ROUND(209029.75*1.03,2)</f>
        <v>215300.64</v>
      </c>
      <c r="F10" s="51">
        <f t="shared" si="0"/>
        <v>142404.22707423579</v>
      </c>
      <c r="G10" s="51">
        <f t="shared" si="1"/>
        <v>188035.49344978167</v>
      </c>
      <c r="H10" s="37"/>
    </row>
    <row r="11" spans="1:8" x14ac:dyDescent="0.2">
      <c r="A11" s="30"/>
      <c r="B11" s="53">
        <v>17.5</v>
      </c>
      <c r="C11" s="69">
        <v>1360</v>
      </c>
      <c r="D11" s="49">
        <f>ROUND(170304.05*1.03,2)</f>
        <v>175413.17</v>
      </c>
      <c r="E11" s="49">
        <f>ROUND(231708.03*1.03,2)</f>
        <v>238659.27</v>
      </c>
      <c r="F11" s="51">
        <f t="shared" si="0"/>
        <v>128980.27205882354</v>
      </c>
      <c r="G11" s="51">
        <f t="shared" si="1"/>
        <v>175484.75735294115</v>
      </c>
      <c r="H11" s="37"/>
    </row>
    <row r="12" spans="1:8" x14ac:dyDescent="0.2">
      <c r="A12" s="30"/>
      <c r="B12" s="53">
        <v>19.5</v>
      </c>
      <c r="C12" s="69">
        <v>1630</v>
      </c>
      <c r="D12" s="49">
        <f>ROUND(193065.27*1.03,2)</f>
        <v>198857.23</v>
      </c>
      <c r="E12" s="49">
        <f>ROUND(262608.87*1.03,2)</f>
        <v>270487.14</v>
      </c>
      <c r="F12" s="51">
        <f t="shared" si="0"/>
        <v>121998.30061349693</v>
      </c>
      <c r="G12" s="51">
        <f t="shared" si="1"/>
        <v>165943.03067484664</v>
      </c>
      <c r="H12" s="37"/>
    </row>
    <row r="13" spans="1:8" x14ac:dyDescent="0.2">
      <c r="A13" s="30"/>
      <c r="B13" s="53">
        <v>21</v>
      </c>
      <c r="C13" s="69">
        <v>1950</v>
      </c>
      <c r="D13" s="49">
        <f>ROUND(223730.05*1.03,2)</f>
        <v>230441.95</v>
      </c>
      <c r="E13" s="49">
        <f>ROUND(304348.5*1.03,2)</f>
        <v>313478.96000000002</v>
      </c>
      <c r="F13" s="51">
        <f t="shared" si="0"/>
        <v>118175.35897435898</v>
      </c>
      <c r="G13" s="51">
        <f t="shared" si="1"/>
        <v>160758.44102564105</v>
      </c>
      <c r="H13" s="37"/>
    </row>
    <row r="14" spans="1:8" x14ac:dyDescent="0.2">
      <c r="A14" s="30"/>
      <c r="B14" s="53">
        <v>23</v>
      </c>
      <c r="C14" s="69">
        <v>2290</v>
      </c>
      <c r="D14" s="49">
        <f>ROUND(257105*1.03,2)</f>
        <v>264818.15000000002</v>
      </c>
      <c r="E14" s="49">
        <f>ROUND(349652.28*1.03,2)</f>
        <v>360141.85</v>
      </c>
      <c r="F14" s="51">
        <f t="shared" si="0"/>
        <v>115641.11353711791</v>
      </c>
      <c r="G14" s="51">
        <f t="shared" si="1"/>
        <v>157267.18340611353</v>
      </c>
      <c r="H14" s="37"/>
    </row>
    <row r="15" spans="1:8" x14ac:dyDescent="0.2">
      <c r="A15" s="30"/>
      <c r="B15" s="53">
        <v>25</v>
      </c>
      <c r="C15" s="69">
        <v>2660</v>
      </c>
      <c r="D15" s="49">
        <f>ROUND(290156.68*1.03,2)</f>
        <v>298861.38</v>
      </c>
      <c r="E15" s="49">
        <f>ROUND(394712.27*1.03,2)</f>
        <v>406553.64</v>
      </c>
      <c r="F15" s="51">
        <f t="shared" si="0"/>
        <v>112353.9022556391</v>
      </c>
      <c r="G15" s="51">
        <f t="shared" si="1"/>
        <v>152839.71428571429</v>
      </c>
      <c r="H15" s="37"/>
    </row>
    <row r="16" spans="1:8" x14ac:dyDescent="0.2">
      <c r="A16" s="30"/>
      <c r="B16" s="53">
        <v>26.5</v>
      </c>
      <c r="C16" s="69">
        <v>2975</v>
      </c>
      <c r="D16" s="49">
        <f>ROUND(322409.55*1.03,2)</f>
        <v>332081.84000000003</v>
      </c>
      <c r="E16" s="49">
        <f>ROUND(438483.81*1.03,2)</f>
        <v>451638.32</v>
      </c>
      <c r="F16" s="51">
        <f t="shared" si="0"/>
        <v>111624.14789915967</v>
      </c>
      <c r="G16" s="51">
        <f t="shared" si="1"/>
        <v>151811.20000000001</v>
      </c>
      <c r="H16" s="37"/>
    </row>
    <row r="17" spans="1:8" x14ac:dyDescent="0.2">
      <c r="A17" s="30"/>
      <c r="B17" s="53">
        <v>28</v>
      </c>
      <c r="C17" s="69">
        <v>3395</v>
      </c>
      <c r="D17" s="49">
        <f>ROUND(365211.72*1.03,2)</f>
        <v>376168.07</v>
      </c>
      <c r="E17" s="49">
        <f>ROUND(496822.12*1.03,2)</f>
        <v>511726.78</v>
      </c>
      <c r="F17" s="51">
        <f t="shared" si="0"/>
        <v>110800.60972017674</v>
      </c>
      <c r="G17" s="51">
        <f t="shared" si="1"/>
        <v>150729.53755522828</v>
      </c>
      <c r="H17" s="37"/>
    </row>
    <row r="18" spans="1:8" x14ac:dyDescent="0.2">
      <c r="A18" s="30"/>
      <c r="B18" s="53">
        <v>30</v>
      </c>
      <c r="C18" s="69">
        <v>3890</v>
      </c>
      <c r="D18" s="49">
        <f>ROUND(414224.81*1.03,2)</f>
        <v>426651.55</v>
      </c>
      <c r="E18" s="49">
        <f>ROUND(563532.13*1.03,2)</f>
        <v>580438.09</v>
      </c>
      <c r="F18" s="51">
        <f t="shared" si="0"/>
        <v>109679.0616966581</v>
      </c>
      <c r="G18" s="51">
        <f t="shared" si="1"/>
        <v>149212.8766066838</v>
      </c>
      <c r="H18" s="37"/>
    </row>
    <row r="19" spans="1:8" x14ac:dyDescent="0.2">
      <c r="A19" s="30"/>
      <c r="B19" s="53">
        <v>32.5</v>
      </c>
      <c r="C19" s="69">
        <v>4445</v>
      </c>
      <c r="D19" s="49">
        <f>ROUND(464171.19*1.03,2)</f>
        <v>478096.33</v>
      </c>
      <c r="E19" s="49">
        <f>ROUND(631306.71*1.03,2)</f>
        <v>650245.91</v>
      </c>
      <c r="F19" s="51">
        <f t="shared" si="0"/>
        <v>107558.2294713161</v>
      </c>
      <c r="G19" s="51">
        <f t="shared" si="1"/>
        <v>146287.04386951632</v>
      </c>
      <c r="H19" s="37"/>
    </row>
    <row r="20" spans="1:8" x14ac:dyDescent="0.2">
      <c r="A20" s="30"/>
      <c r="B20" s="53">
        <v>35.5</v>
      </c>
      <c r="C20" s="69">
        <v>5290</v>
      </c>
      <c r="D20" s="49">
        <f>ROUND(550714.97*1.03,2)</f>
        <v>567236.42000000004</v>
      </c>
      <c r="E20" s="49">
        <f>ROUND(749219.4*1.03,2)</f>
        <v>771695.98</v>
      </c>
      <c r="F20" s="51">
        <f t="shared" si="0"/>
        <v>107228.05671077505</v>
      </c>
      <c r="G20" s="51">
        <f t="shared" si="1"/>
        <v>145878.25708884688</v>
      </c>
      <c r="H20" s="37"/>
    </row>
    <row r="21" spans="1:8" x14ac:dyDescent="0.2">
      <c r="A21" s="30"/>
      <c r="B21" s="53">
        <v>36.5</v>
      </c>
      <c r="C21" s="69">
        <v>5895</v>
      </c>
      <c r="D21" s="49">
        <f>ROUND(607887.53*1.03,2)</f>
        <v>626124.16</v>
      </c>
      <c r="E21" s="49">
        <f>ROUND(826897.59*1.03,2)</f>
        <v>851704.52</v>
      </c>
      <c r="F21" s="51">
        <f t="shared" si="0"/>
        <v>106212.74978795589</v>
      </c>
      <c r="G21" s="51">
        <f t="shared" si="1"/>
        <v>144479.13825275656</v>
      </c>
      <c r="H21" s="37"/>
    </row>
    <row r="22" spans="1:8" x14ac:dyDescent="0.2">
      <c r="A22" s="30"/>
      <c r="B22" s="53">
        <v>39</v>
      </c>
      <c r="C22" s="69">
        <v>6530</v>
      </c>
      <c r="D22" s="49">
        <f>ROUND(666709.04*1.03,2)</f>
        <v>686710.31</v>
      </c>
      <c r="E22" s="49">
        <f>ROUND(906575.26*1.03,2)</f>
        <v>933772.52</v>
      </c>
      <c r="F22" s="51">
        <f t="shared" si="0"/>
        <v>105162.3751914242</v>
      </c>
      <c r="G22" s="51">
        <f t="shared" si="1"/>
        <v>142997.32312404289</v>
      </c>
      <c r="H22" s="37"/>
    </row>
    <row r="23" spans="1:8" x14ac:dyDescent="0.2">
      <c r="A23" s="30"/>
      <c r="B23" s="53">
        <v>41</v>
      </c>
      <c r="C23" s="69">
        <v>7265</v>
      </c>
      <c r="D23" s="49">
        <f>ROUND(741142.91*1.03,2)</f>
        <v>763377.2</v>
      </c>
      <c r="E23" s="49">
        <f>ROUND(1007571.85*1.03,2)</f>
        <v>1037799.01</v>
      </c>
      <c r="F23" s="51">
        <f t="shared" si="0"/>
        <v>105076.00825877495</v>
      </c>
      <c r="G23" s="51">
        <f t="shared" si="1"/>
        <v>142849.14108740538</v>
      </c>
      <c r="H23" s="37"/>
    </row>
    <row r="24" spans="1:8" x14ac:dyDescent="0.2">
      <c r="A24" s="30"/>
      <c r="B24" s="53">
        <v>42</v>
      </c>
      <c r="C24" s="69">
        <v>7965</v>
      </c>
      <c r="D24" s="49">
        <f>ROUND(806834.21*1.03,2)</f>
        <v>831039.24</v>
      </c>
      <c r="E24" s="49">
        <f>ROUND(1097485.11*1.03,2)</f>
        <v>1130409.6599999999</v>
      </c>
      <c r="F24" s="51">
        <f t="shared" si="0"/>
        <v>104336.37664783427</v>
      </c>
      <c r="G24" s="51">
        <f t="shared" si="1"/>
        <v>141922.11676082859</v>
      </c>
      <c r="H24" s="37"/>
    </row>
    <row r="25" spans="1:8" x14ac:dyDescent="0.2">
      <c r="A25" s="30"/>
      <c r="B25" s="53">
        <v>45.5</v>
      </c>
      <c r="C25" s="69">
        <v>9045</v>
      </c>
      <c r="D25" s="49">
        <f>ROUND(902130.14*1.03,2)</f>
        <v>929194.04</v>
      </c>
      <c r="E25" s="49">
        <f>ROUND(1227231.24*1.03,2)</f>
        <v>1264048.18</v>
      </c>
      <c r="F25" s="51">
        <f t="shared" si="0"/>
        <v>102730.13156440023</v>
      </c>
      <c r="G25" s="51">
        <f t="shared" si="1"/>
        <v>139751.04256495301</v>
      </c>
      <c r="H25" s="37"/>
    </row>
    <row r="26" spans="1:8" x14ac:dyDescent="0.2">
      <c r="A26" s="30"/>
      <c r="B26" s="53">
        <v>49</v>
      </c>
      <c r="C26" s="69">
        <v>10600</v>
      </c>
      <c r="D26" s="49">
        <f>ROUND(1049856.86*1.03,2)</f>
        <v>1081352.57</v>
      </c>
      <c r="E26" s="49">
        <f>ROUND(1428057.34*1.03,2)</f>
        <v>1470899.06</v>
      </c>
      <c r="F26" s="51">
        <f t="shared" si="0"/>
        <v>102014.39339622643</v>
      </c>
      <c r="G26" s="51">
        <f t="shared" si="1"/>
        <v>138764.06226415094</v>
      </c>
      <c r="H26" s="37"/>
    </row>
    <row r="27" spans="1:8" x14ac:dyDescent="0.2">
      <c r="A27" s="30"/>
      <c r="B27" s="53">
        <v>52</v>
      </c>
      <c r="C27" s="69">
        <v>11850</v>
      </c>
      <c r="D27" s="49">
        <f>ROUND(1165147.64*1.03,2)</f>
        <v>1200102.07</v>
      </c>
      <c r="E27" s="49">
        <f>ROUND(1584649.04*1.03,2)</f>
        <v>1632188.51</v>
      </c>
      <c r="F27" s="51">
        <f t="shared" si="0"/>
        <v>101274.43628691984</v>
      </c>
      <c r="G27" s="51">
        <f t="shared" si="1"/>
        <v>137737.42700421941</v>
      </c>
      <c r="H27" s="37"/>
    </row>
    <row r="28" spans="1:8" x14ac:dyDescent="0.2">
      <c r="A28" s="30"/>
      <c r="B28" s="53">
        <v>57</v>
      </c>
      <c r="C28" s="69">
        <v>13900</v>
      </c>
      <c r="D28" s="49">
        <f>ROUND(1356950.13*1.03,2)</f>
        <v>1397658.63</v>
      </c>
      <c r="E28" s="49">
        <f>ROUND(1845728.15*1.03,2)</f>
        <v>1901099.99</v>
      </c>
      <c r="F28" s="51">
        <f t="shared" si="0"/>
        <v>100550.98057553955</v>
      </c>
      <c r="G28" s="51">
        <f t="shared" si="1"/>
        <v>136769.78345323741</v>
      </c>
      <c r="H28" s="37"/>
    </row>
    <row r="29" spans="1:8" x14ac:dyDescent="0.2">
      <c r="A29" s="30"/>
      <c r="B29" s="53">
        <v>60.5</v>
      </c>
      <c r="C29" s="69">
        <v>15240</v>
      </c>
      <c r="D29" s="49">
        <f>ROUND(1483219.03*1.03,2)</f>
        <v>1527715.6</v>
      </c>
      <c r="E29" s="49">
        <f>ROUND(2016637.74*1.03,2)</f>
        <v>2077136.87</v>
      </c>
      <c r="F29" s="51">
        <f t="shared" si="0"/>
        <v>100243.80577427821</v>
      </c>
      <c r="G29" s="51">
        <f t="shared" si="1"/>
        <v>136295.07020997378</v>
      </c>
      <c r="H29" s="37"/>
    </row>
    <row r="30" spans="1:8" x14ac:dyDescent="0.2">
      <c r="A30" s="30"/>
      <c r="B30" s="53">
        <v>61.5</v>
      </c>
      <c r="C30" s="69">
        <v>16250</v>
      </c>
      <c r="D30" s="49">
        <f>ROUND(1578351*1.03,2)</f>
        <v>1625701.53</v>
      </c>
      <c r="E30" s="49">
        <f>ROUND(2146962.23*1.03,2)</f>
        <v>2211371.1</v>
      </c>
      <c r="F30" s="51">
        <f t="shared" si="0"/>
        <v>100043.17107692307</v>
      </c>
      <c r="G30" s="51">
        <f t="shared" si="1"/>
        <v>136084.37538461538</v>
      </c>
      <c r="H30" s="37"/>
    </row>
    <row r="31" spans="1:8" x14ac:dyDescent="0.2">
      <c r="A31" s="30"/>
      <c r="B31" s="53">
        <v>64</v>
      </c>
      <c r="C31" s="69">
        <v>17148</v>
      </c>
      <c r="D31" s="49">
        <f>ROUND(1661994.26*1.03,2)</f>
        <v>1711854.09</v>
      </c>
      <c r="E31" s="49">
        <f>ROUND(2259954.82*1.03,2)</f>
        <v>2327753.46</v>
      </c>
      <c r="F31" s="51">
        <f t="shared" si="0"/>
        <v>99828.206787963602</v>
      </c>
      <c r="G31" s="51">
        <f t="shared" si="1"/>
        <v>135744.89503149057</v>
      </c>
      <c r="H31" s="37"/>
    </row>
    <row r="32" spans="1:8" x14ac:dyDescent="0.2">
      <c r="A32" s="30"/>
      <c r="B32" s="53">
        <v>68</v>
      </c>
      <c r="C32" s="69">
        <v>18775</v>
      </c>
      <c r="D32" s="49">
        <f>ROUND(1755662.21*1.03,2)</f>
        <v>1808332.08</v>
      </c>
      <c r="E32" s="49">
        <f>ROUND(2387253.17*1.03,2)</f>
        <v>2458870.77</v>
      </c>
      <c r="F32" s="51">
        <f t="shared" si="0"/>
        <v>96315.956324900137</v>
      </c>
      <c r="G32" s="51">
        <f t="shared" si="1"/>
        <v>130965.15419440746</v>
      </c>
      <c r="H32" s="37"/>
    </row>
    <row r="33" spans="1:8" x14ac:dyDescent="0.2">
      <c r="A33" s="30"/>
      <c r="B33" s="70">
        <v>72</v>
      </c>
      <c r="C33" s="71">
        <v>21125</v>
      </c>
      <c r="D33" s="101">
        <f>ROUND(1962599.77*1.03,2)</f>
        <v>2021477.76</v>
      </c>
      <c r="E33" s="101">
        <f>ROUND(2669212.64*1.03,2)</f>
        <v>2749289.02</v>
      </c>
      <c r="F33" s="72">
        <f t="shared" si="0"/>
        <v>95691.254911242606</v>
      </c>
      <c r="G33" s="72">
        <f t="shared" si="1"/>
        <v>130143.85893491123</v>
      </c>
      <c r="H33" s="37"/>
    </row>
  </sheetData>
  <mergeCells count="1">
    <mergeCell ref="F2:G3"/>
  </mergeCells>
  <phoneticPr fontId="0" type="noConversion"/>
  <hyperlinks>
    <hyperlink ref="H1" location="'2'!A1" display="Оглавление"/>
  </hyperlinks>
  <printOptions horizontalCentered="1"/>
  <pageMargins left="0.78740157480314965" right="0.78740157480314965" top="0.78740157480314965" bottom="0.98425196850393704" header="0.31496062992125984" footer="0.51181102362204722"/>
  <pageSetup paperSize="9" orientation="portrait" r:id="rId1"/>
  <headerFooter alignWithMargins="0">
    <oddHeader>&amp;A</oddHead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H33"/>
  <sheetViews>
    <sheetView showGridLines="0" showRowColHeaders="0" view="pageBreakPreview" zoomScaleNormal="75" zoomScaleSheetLayoutView="100" workbookViewId="0">
      <selection activeCell="E6" sqref="E6"/>
    </sheetView>
  </sheetViews>
  <sheetFormatPr defaultColWidth="8.85546875" defaultRowHeight="12.75" x14ac:dyDescent="0.2"/>
  <cols>
    <col min="1" max="1" width="9.7109375" style="8" customWidth="1"/>
    <col min="2" max="3" width="9.7109375" style="3" customWidth="1"/>
    <col min="4" max="7" width="12.7109375" style="3" customWidth="1"/>
    <col min="8" max="8" width="11.5703125" style="3" bestFit="1" customWidth="1"/>
    <col min="9" max="16384" width="8.85546875" style="3"/>
  </cols>
  <sheetData>
    <row r="1" spans="1:8" x14ac:dyDescent="0.2">
      <c r="G1" s="145">
        <v>43435</v>
      </c>
      <c r="H1" s="10" t="s">
        <v>114</v>
      </c>
    </row>
    <row r="2" spans="1:8" x14ac:dyDescent="0.2">
      <c r="B2" s="261" t="s">
        <v>15</v>
      </c>
      <c r="C2" s="262"/>
      <c r="D2" s="262"/>
      <c r="E2" s="263"/>
      <c r="F2" s="436" t="s">
        <v>47</v>
      </c>
      <c r="G2" s="436"/>
      <c r="H2" s="8"/>
    </row>
    <row r="3" spans="1:8" x14ac:dyDescent="0.2">
      <c r="B3" s="264" t="s">
        <v>48</v>
      </c>
      <c r="C3" s="265"/>
      <c r="D3" s="265"/>
      <c r="E3" s="266"/>
      <c r="F3" s="436"/>
      <c r="G3" s="436"/>
      <c r="H3" s="8"/>
    </row>
    <row r="4" spans="1:8" ht="24.95" customHeight="1" x14ac:dyDescent="0.2">
      <c r="B4" s="259"/>
      <c r="C4" s="269"/>
      <c r="D4" s="248" t="s">
        <v>147</v>
      </c>
      <c r="E4" s="248"/>
      <c r="F4" s="248" t="s">
        <v>124</v>
      </c>
      <c r="G4" s="248"/>
      <c r="H4" s="8"/>
    </row>
    <row r="5" spans="1:8" x14ac:dyDescent="0.2">
      <c r="A5" s="27"/>
      <c r="B5" s="251" t="s">
        <v>196</v>
      </c>
      <c r="C5" s="138" t="s">
        <v>195</v>
      </c>
      <c r="D5" s="249" t="s">
        <v>191</v>
      </c>
      <c r="E5" s="250" t="s">
        <v>192</v>
      </c>
      <c r="F5" s="249" t="s">
        <v>193</v>
      </c>
      <c r="G5" s="250" t="s">
        <v>194</v>
      </c>
      <c r="H5" s="8"/>
    </row>
    <row r="6" spans="1:8" ht="15" customHeight="1" x14ac:dyDescent="0.2">
      <c r="A6" s="29"/>
      <c r="B6" s="73">
        <v>5.0999999999999996</v>
      </c>
      <c r="C6" s="74">
        <v>104</v>
      </c>
      <c r="D6" s="422">
        <f>ROUND(32865.77*1.03,2)</f>
        <v>33851.74</v>
      </c>
      <c r="E6" s="422">
        <f>ROUND(40164.77*1.03,2)</f>
        <v>41369.71</v>
      </c>
      <c r="F6" s="51">
        <f t="shared" ref="F6:F33" si="0">D6/C6*1000</f>
        <v>325497.5</v>
      </c>
      <c r="G6" s="75">
        <f t="shared" ref="G6:G33" si="1">E6/C6*1000</f>
        <v>397785.67307692306</v>
      </c>
      <c r="H6" s="37"/>
    </row>
    <row r="7" spans="1:8" ht="15" customHeight="1" x14ac:dyDescent="0.2">
      <c r="A7" s="29"/>
      <c r="B7" s="73">
        <v>5.5</v>
      </c>
      <c r="C7" s="74">
        <v>127</v>
      </c>
      <c r="D7" s="422">
        <f>ROUND(34607.19*1.03,2)</f>
        <v>35645.410000000003</v>
      </c>
      <c r="E7" s="422">
        <f>ROUND(42306.33*1.03,2)</f>
        <v>43575.519999999997</v>
      </c>
      <c r="F7" s="51">
        <f t="shared" si="0"/>
        <v>280672.51968503941</v>
      </c>
      <c r="G7" s="75">
        <f t="shared" si="1"/>
        <v>343114.33070866141</v>
      </c>
      <c r="H7" s="37"/>
    </row>
    <row r="8" spans="1:8" ht="15" customHeight="1" x14ac:dyDescent="0.2">
      <c r="A8" s="29"/>
      <c r="B8" s="73">
        <v>6.7</v>
      </c>
      <c r="C8" s="74">
        <v>190</v>
      </c>
      <c r="D8" s="422">
        <f>ROUND(41516.21*1.03,2)</f>
        <v>42761.7</v>
      </c>
      <c r="E8" s="422">
        <f>ROUND(50763.29*1.03,2)</f>
        <v>52286.19</v>
      </c>
      <c r="F8" s="51">
        <f t="shared" si="0"/>
        <v>225061.57894736843</v>
      </c>
      <c r="G8" s="75">
        <f t="shared" si="1"/>
        <v>275190.4736842105</v>
      </c>
      <c r="H8" s="37"/>
    </row>
    <row r="9" spans="1:8" ht="15" customHeight="1" x14ac:dyDescent="0.2">
      <c r="A9" s="29"/>
      <c r="B9" s="73">
        <v>8</v>
      </c>
      <c r="C9" s="74">
        <v>272.5</v>
      </c>
      <c r="D9" s="422">
        <f>ROUND(47347.81*1.03,2)</f>
        <v>48768.24</v>
      </c>
      <c r="E9" s="422">
        <f>ROUND(57868.64*1.03,2)</f>
        <v>59604.7</v>
      </c>
      <c r="F9" s="51">
        <f t="shared" si="0"/>
        <v>178966.01834862382</v>
      </c>
      <c r="G9" s="75">
        <f t="shared" si="1"/>
        <v>218732.84403669724</v>
      </c>
      <c r="H9" s="37"/>
    </row>
    <row r="10" spans="1:8" ht="15" customHeight="1" x14ac:dyDescent="0.2">
      <c r="A10" s="29"/>
      <c r="B10" s="73">
        <v>8.8000000000000007</v>
      </c>
      <c r="C10" s="74">
        <v>327.5</v>
      </c>
      <c r="D10" s="422">
        <f>ROUND(58972.12*1.03,2)</f>
        <v>60741.279999999999</v>
      </c>
      <c r="E10" s="422">
        <f>ROUND(72066.92*1.03,2)</f>
        <v>74228.929999999993</v>
      </c>
      <c r="F10" s="51">
        <f t="shared" si="0"/>
        <v>185469.55725190838</v>
      </c>
      <c r="G10" s="75">
        <f t="shared" si="1"/>
        <v>226653.2213740458</v>
      </c>
      <c r="H10" s="37"/>
    </row>
    <row r="11" spans="1:8" ht="15" customHeight="1" x14ac:dyDescent="0.2">
      <c r="A11" s="29"/>
      <c r="B11" s="73">
        <v>9.6999999999999993</v>
      </c>
      <c r="C11" s="74">
        <v>388</v>
      </c>
      <c r="D11" s="422">
        <f>ROUND(58545.47*1.03,2)</f>
        <v>60301.83</v>
      </c>
      <c r="E11" s="422">
        <f>ROUND(75185.58*1.03,2)</f>
        <v>77441.149999999994</v>
      </c>
      <c r="F11" s="51">
        <f t="shared" si="0"/>
        <v>155417.08762886596</v>
      </c>
      <c r="G11" s="75">
        <f t="shared" si="1"/>
        <v>199590.59278350516</v>
      </c>
      <c r="H11" s="37"/>
    </row>
    <row r="12" spans="1:8" ht="15" customHeight="1" x14ac:dyDescent="0.2">
      <c r="A12" s="29"/>
      <c r="B12" s="73">
        <v>11</v>
      </c>
      <c r="C12" s="74">
        <v>491.5</v>
      </c>
      <c r="D12" s="422">
        <f>ROUND(70168.5*1.03,2)</f>
        <v>72273.56</v>
      </c>
      <c r="E12" s="422">
        <f>ROUND(90100.58*1.03,2)</f>
        <v>92803.6</v>
      </c>
      <c r="F12" s="51">
        <f t="shared" si="0"/>
        <v>147046.91759918618</v>
      </c>
      <c r="G12" s="75">
        <f t="shared" si="1"/>
        <v>188817.09053916583</v>
      </c>
      <c r="H12" s="37"/>
    </row>
    <row r="13" spans="1:8" ht="15" customHeight="1" x14ac:dyDescent="0.2">
      <c r="A13" s="29"/>
      <c r="B13" s="73">
        <v>12</v>
      </c>
      <c r="C13" s="74">
        <v>568</v>
      </c>
      <c r="D13" s="422">
        <f>ROUND(79709.49*1.03,2)</f>
        <v>82100.77</v>
      </c>
      <c r="E13" s="422">
        <f>ROUND(102364.47*1.03,2)</f>
        <v>105435.4</v>
      </c>
      <c r="F13" s="51">
        <f t="shared" si="0"/>
        <v>144543.60915492958</v>
      </c>
      <c r="G13" s="75">
        <f t="shared" si="1"/>
        <v>185625.70422535212</v>
      </c>
      <c r="H13" s="37"/>
    </row>
    <row r="14" spans="1:8" ht="15" customHeight="1" x14ac:dyDescent="0.2">
      <c r="A14" s="29"/>
      <c r="B14" s="73">
        <v>12.5</v>
      </c>
      <c r="C14" s="74">
        <v>650.5</v>
      </c>
      <c r="D14" s="422">
        <f>ROUND(83950.61*1.03,2)</f>
        <v>86469.13</v>
      </c>
      <c r="E14" s="422">
        <f>ROUND(107790.24*1.03,2)</f>
        <v>111023.95</v>
      </c>
      <c r="F14" s="51">
        <f t="shared" si="0"/>
        <v>132927.17909300537</v>
      </c>
      <c r="G14" s="75">
        <f t="shared" si="1"/>
        <v>170674.78862413528</v>
      </c>
      <c r="H14" s="37"/>
    </row>
    <row r="15" spans="1:8" ht="15" customHeight="1" x14ac:dyDescent="0.2">
      <c r="A15" s="29"/>
      <c r="B15" s="73">
        <v>14</v>
      </c>
      <c r="C15" s="74">
        <v>792</v>
      </c>
      <c r="D15" s="422">
        <f>ROUND(94684.03*1.03,2)</f>
        <v>97524.55</v>
      </c>
      <c r="E15" s="422">
        <f>ROUND(121533.49*1.03,2)</f>
        <v>125179.49</v>
      </c>
      <c r="F15" s="51">
        <f t="shared" si="0"/>
        <v>123137.05808080808</v>
      </c>
      <c r="G15" s="75">
        <f t="shared" si="1"/>
        <v>158054.91161616164</v>
      </c>
      <c r="H15" s="37"/>
    </row>
    <row r="16" spans="1:8" ht="15" customHeight="1" x14ac:dyDescent="0.2">
      <c r="A16" s="29"/>
      <c r="B16" s="73">
        <v>15</v>
      </c>
      <c r="C16" s="74">
        <v>921.5</v>
      </c>
      <c r="D16" s="422">
        <f>ROUND(105016.54*1.03,2)</f>
        <v>108167.03999999999</v>
      </c>
      <c r="E16" s="422">
        <f>ROUND(134736.55*1.03,2)</f>
        <v>138778.65</v>
      </c>
      <c r="F16" s="51">
        <f t="shared" si="0"/>
        <v>117381.48670645685</v>
      </c>
      <c r="G16" s="75">
        <f t="shared" si="1"/>
        <v>150600.81389039609</v>
      </c>
      <c r="H16" s="37"/>
    </row>
    <row r="17" spans="1:8" ht="15" customHeight="1" x14ac:dyDescent="0.2">
      <c r="A17" s="29"/>
      <c r="B17" s="73">
        <v>16.5</v>
      </c>
      <c r="C17" s="74">
        <v>1115</v>
      </c>
      <c r="D17" s="422">
        <f>ROUND(124322.65*1.03,2)</f>
        <v>128052.33</v>
      </c>
      <c r="E17" s="422">
        <f>ROUND(159498.78*1.03,2)</f>
        <v>164283.74</v>
      </c>
      <c r="F17" s="51">
        <f t="shared" si="0"/>
        <v>114845.13901345292</v>
      </c>
      <c r="G17" s="75">
        <f t="shared" si="1"/>
        <v>147339.67713004485</v>
      </c>
      <c r="H17" s="37"/>
    </row>
    <row r="18" spans="1:8" ht="15" customHeight="1" x14ac:dyDescent="0.2">
      <c r="A18" s="29"/>
      <c r="B18" s="73">
        <v>18</v>
      </c>
      <c r="C18" s="74">
        <v>1320</v>
      </c>
      <c r="D18" s="422">
        <f>ROUND(145513.62*1.03,2)</f>
        <v>149879.03</v>
      </c>
      <c r="E18" s="422">
        <f>ROUND(186658.22*1.03,2)</f>
        <v>192257.97</v>
      </c>
      <c r="F18" s="51">
        <f t="shared" si="0"/>
        <v>113544.7196969697</v>
      </c>
      <c r="G18" s="75">
        <f t="shared" si="1"/>
        <v>145649.97727272729</v>
      </c>
      <c r="H18" s="37"/>
    </row>
    <row r="19" spans="1:8" ht="15" customHeight="1" x14ac:dyDescent="0.2">
      <c r="A19" s="29"/>
      <c r="B19" s="73">
        <v>19</v>
      </c>
      <c r="C19" s="74">
        <v>1520</v>
      </c>
      <c r="D19" s="422">
        <f>ROUND(166792.72*1.03,2)</f>
        <v>171796.5</v>
      </c>
      <c r="E19" s="422">
        <f>ROUND(213993*1.03,2)</f>
        <v>220412.79</v>
      </c>
      <c r="F19" s="51">
        <f t="shared" si="0"/>
        <v>113024.01315789475</v>
      </c>
      <c r="G19" s="75">
        <f t="shared" si="1"/>
        <v>145008.41447368421</v>
      </c>
      <c r="H19" s="37"/>
    </row>
    <row r="20" spans="1:8" ht="15" customHeight="1" x14ac:dyDescent="0.2">
      <c r="A20" s="29"/>
      <c r="B20" s="73">
        <v>20.5</v>
      </c>
      <c r="C20" s="74">
        <v>1765</v>
      </c>
      <c r="D20" s="422">
        <f>ROUND(192810.42*1.03,2)</f>
        <v>198594.73</v>
      </c>
      <c r="E20" s="422">
        <f>ROUND(247301.67*1.03,2)</f>
        <v>254720.72</v>
      </c>
      <c r="F20" s="51">
        <f t="shared" si="0"/>
        <v>112518.26062322946</v>
      </c>
      <c r="G20" s="75">
        <f t="shared" si="1"/>
        <v>144317.68838526911</v>
      </c>
      <c r="H20" s="37"/>
    </row>
    <row r="21" spans="1:8" ht="15" customHeight="1" x14ac:dyDescent="0.2">
      <c r="A21" s="29"/>
      <c r="B21" s="73">
        <v>22</v>
      </c>
      <c r="C21" s="74">
        <v>1990</v>
      </c>
      <c r="D21" s="422">
        <f>ROUND(203455.52*1.03,2)</f>
        <v>209559.19</v>
      </c>
      <c r="E21" s="422">
        <f>ROUND(261069.83*1.03,2)</f>
        <v>268901.92</v>
      </c>
      <c r="F21" s="51">
        <f t="shared" si="0"/>
        <v>105306.12562814071</v>
      </c>
      <c r="G21" s="75">
        <f t="shared" si="1"/>
        <v>135126.59296482411</v>
      </c>
      <c r="H21" s="37"/>
    </row>
    <row r="22" spans="1:8" ht="15" customHeight="1" x14ac:dyDescent="0.2">
      <c r="A22" s="29"/>
      <c r="B22" s="73">
        <v>23</v>
      </c>
      <c r="C22" s="74">
        <v>2265</v>
      </c>
      <c r="D22" s="422">
        <f>ROUND(230275.28*1.03,2)</f>
        <v>237183.54</v>
      </c>
      <c r="E22" s="422">
        <f>ROUND(295564.24*1.03,2)</f>
        <v>304431.17</v>
      </c>
      <c r="F22" s="51">
        <f t="shared" si="0"/>
        <v>104716.79470198676</v>
      </c>
      <c r="G22" s="75">
        <f t="shared" si="1"/>
        <v>134406.69757174392</v>
      </c>
      <c r="H22" s="37"/>
    </row>
    <row r="23" spans="1:8" ht="15" customHeight="1" x14ac:dyDescent="0.2">
      <c r="A23" s="29"/>
      <c r="B23" s="73">
        <v>25</v>
      </c>
      <c r="C23" s="74">
        <v>2560</v>
      </c>
      <c r="D23" s="422">
        <f>ROUND(254850.78*1.03,2)</f>
        <v>262496.3</v>
      </c>
      <c r="E23" s="422">
        <f>ROUND(326903.96*1.03,2)</f>
        <v>336711.08</v>
      </c>
      <c r="F23" s="51">
        <f t="shared" si="0"/>
        <v>102537.61718749999</v>
      </c>
      <c r="G23" s="75">
        <f t="shared" si="1"/>
        <v>131527.765625</v>
      </c>
      <c r="H23" s="37"/>
    </row>
    <row r="24" spans="1:8" ht="15" customHeight="1" x14ac:dyDescent="0.2">
      <c r="A24" s="29"/>
      <c r="B24" s="73">
        <v>27</v>
      </c>
      <c r="C24" s="74">
        <v>3090</v>
      </c>
      <c r="D24" s="422">
        <f>ROUND(316409.61*1.03,2)</f>
        <v>325901.90000000002</v>
      </c>
      <c r="E24" s="422">
        <f>ROUND(405800.27*1.03,2)</f>
        <v>417974.28</v>
      </c>
      <c r="F24" s="51">
        <f t="shared" si="0"/>
        <v>105469.87055016181</v>
      </c>
      <c r="G24" s="75">
        <f t="shared" si="1"/>
        <v>135266.75728155341</v>
      </c>
      <c r="H24" s="37"/>
    </row>
    <row r="25" spans="1:8" ht="15" customHeight="1" x14ac:dyDescent="0.2">
      <c r="A25" s="29"/>
      <c r="B25" s="73">
        <v>29.5</v>
      </c>
      <c r="C25" s="74">
        <v>3705</v>
      </c>
      <c r="D25" s="422">
        <f>ROUND(367957.52*1.03,2)</f>
        <v>378996.25</v>
      </c>
      <c r="E25" s="422">
        <f>ROUND(486454.84*1.03,2)</f>
        <v>501048.49</v>
      </c>
      <c r="F25" s="51">
        <f t="shared" si="0"/>
        <v>102293.18488529015</v>
      </c>
      <c r="G25" s="75">
        <f t="shared" si="1"/>
        <v>135235.75978407558</v>
      </c>
      <c r="H25" s="37"/>
    </row>
    <row r="26" spans="1:8" ht="15" customHeight="1" x14ac:dyDescent="0.2">
      <c r="A26" s="29"/>
      <c r="B26" s="73">
        <v>31</v>
      </c>
      <c r="C26" s="74">
        <v>4125</v>
      </c>
      <c r="D26" s="422">
        <f>ROUND(407358.89*1.03,2)</f>
        <v>419579.66</v>
      </c>
      <c r="E26" s="422">
        <f>ROUND(538435.73*1.03,2)</f>
        <v>554588.80000000005</v>
      </c>
      <c r="F26" s="51">
        <f t="shared" si="0"/>
        <v>101716.2812121212</v>
      </c>
      <c r="G26" s="75">
        <f t="shared" si="1"/>
        <v>134445.76969696971</v>
      </c>
      <c r="H26" s="37"/>
    </row>
    <row r="27" spans="1:8" ht="15" customHeight="1" x14ac:dyDescent="0.2">
      <c r="A27" s="29"/>
      <c r="B27" s="73">
        <v>33</v>
      </c>
      <c r="C27" s="74">
        <v>4565</v>
      </c>
      <c r="D27" s="422">
        <f>ROUND(450051.64*1.03,2)</f>
        <v>463553.19</v>
      </c>
      <c r="E27" s="422">
        <f>ROUND(594548.27*1.03,2)</f>
        <v>612384.72</v>
      </c>
      <c r="F27" s="51">
        <f t="shared" si="0"/>
        <v>101545.05805038335</v>
      </c>
      <c r="G27" s="75">
        <f t="shared" si="1"/>
        <v>134147.80284775468</v>
      </c>
      <c r="H27" s="37"/>
    </row>
    <row r="28" spans="1:8" ht="15" customHeight="1" x14ac:dyDescent="0.2">
      <c r="A28" s="29"/>
      <c r="B28" s="73">
        <v>36</v>
      </c>
      <c r="C28" s="74">
        <v>5410</v>
      </c>
      <c r="D28" s="422">
        <f>ROUND(528089.28*1.03,2)</f>
        <v>543931.96</v>
      </c>
      <c r="E28" s="422">
        <f>ROUND(697728.2*1.03,2)</f>
        <v>718660.05</v>
      </c>
      <c r="F28" s="51">
        <f t="shared" si="0"/>
        <v>100541.95194085027</v>
      </c>
      <c r="G28" s="75">
        <f t="shared" si="1"/>
        <v>132839.19593345659</v>
      </c>
      <c r="H28" s="37"/>
    </row>
    <row r="29" spans="1:8" ht="15" customHeight="1" x14ac:dyDescent="0.2">
      <c r="A29" s="29"/>
      <c r="B29" s="73">
        <v>38.5</v>
      </c>
      <c r="C29" s="74">
        <v>6190</v>
      </c>
      <c r="D29" s="422">
        <f>ROUND(592247.22*1.03,2)</f>
        <v>610014.64</v>
      </c>
      <c r="E29" s="422">
        <f>ROUND(782735.53*1.03,2)</f>
        <v>806217.6</v>
      </c>
      <c r="F29" s="51">
        <f t="shared" si="0"/>
        <v>98548.407108239102</v>
      </c>
      <c r="G29" s="75">
        <f t="shared" si="1"/>
        <v>130245.16962843297</v>
      </c>
      <c r="H29" s="37"/>
    </row>
    <row r="30" spans="1:8" ht="15" customHeight="1" x14ac:dyDescent="0.2">
      <c r="A30" s="29"/>
      <c r="B30" s="73">
        <v>41</v>
      </c>
      <c r="C30" s="74">
        <v>7050</v>
      </c>
      <c r="D30" s="422">
        <f>ROUND(673062.07*1.03,2)</f>
        <v>693253.93</v>
      </c>
      <c r="E30" s="422">
        <f>ROUND(889810.48*1.03,2)</f>
        <v>916504.79</v>
      </c>
      <c r="F30" s="51">
        <f t="shared" si="0"/>
        <v>98333.890780141854</v>
      </c>
      <c r="G30" s="75">
        <f t="shared" si="1"/>
        <v>130000.67943262411</v>
      </c>
      <c r="H30" s="37"/>
    </row>
    <row r="31" spans="1:8" ht="15" customHeight="1" x14ac:dyDescent="0.2">
      <c r="A31" s="29"/>
      <c r="B31" s="73">
        <v>46.5</v>
      </c>
      <c r="C31" s="74">
        <v>9065</v>
      </c>
      <c r="D31" s="422">
        <f>ROUND(859527.24*1.03,2)</f>
        <v>885313.06</v>
      </c>
      <c r="E31" s="422">
        <f>ROUND(1135644.58*1.03,2)</f>
        <v>1169713.92</v>
      </c>
      <c r="F31" s="51">
        <f t="shared" si="0"/>
        <v>97662.775510204083</v>
      </c>
      <c r="G31" s="75">
        <f t="shared" si="1"/>
        <v>129036.28461114175</v>
      </c>
      <c r="H31" s="37"/>
    </row>
    <row r="32" spans="1:8" ht="15" customHeight="1" x14ac:dyDescent="0.2">
      <c r="A32" s="29"/>
      <c r="B32" s="73">
        <v>49.5</v>
      </c>
      <c r="C32" s="74">
        <v>10250</v>
      </c>
      <c r="D32" s="422">
        <f>ROUND(970930.13*1.03,2)</f>
        <v>1000058.03</v>
      </c>
      <c r="E32" s="422">
        <f>ROUND(1282954.58*1.03,2)</f>
        <v>1321443.22</v>
      </c>
      <c r="F32" s="51">
        <f t="shared" si="0"/>
        <v>97566.637073170743</v>
      </c>
      <c r="G32" s="75">
        <f t="shared" si="1"/>
        <v>128921.28975609757</v>
      </c>
      <c r="H32" s="37"/>
    </row>
    <row r="33" spans="1:8" ht="15" customHeight="1" x14ac:dyDescent="0.2">
      <c r="A33" s="29"/>
      <c r="B33" s="252">
        <v>55</v>
      </c>
      <c r="C33" s="253">
        <v>12650</v>
      </c>
      <c r="D33" s="423">
        <f>ROUND(1190556.81*1.03,2)</f>
        <v>1226273.51</v>
      </c>
      <c r="E33" s="423">
        <f>ROUND(1573449.74*1.03,2)</f>
        <v>1620653.23</v>
      </c>
      <c r="F33" s="72">
        <f t="shared" si="0"/>
        <v>96938.617391304346</v>
      </c>
      <c r="G33" s="254">
        <f t="shared" si="1"/>
        <v>128114.87984189721</v>
      </c>
      <c r="H33" s="37"/>
    </row>
  </sheetData>
  <mergeCells count="1">
    <mergeCell ref="F2:G3"/>
  </mergeCells>
  <phoneticPr fontId="0" type="noConversion"/>
  <hyperlinks>
    <hyperlink ref="H1" location="'2'!A1" display="Оглавление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&amp;A</oddHead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H66"/>
  <sheetViews>
    <sheetView showGridLines="0" showRowColHeaders="0" view="pageBreakPreview" zoomScaleNormal="75" zoomScaleSheetLayoutView="100" workbookViewId="0">
      <selection activeCell="D2" sqref="D2"/>
    </sheetView>
  </sheetViews>
  <sheetFormatPr defaultColWidth="8.85546875" defaultRowHeight="12.75" x14ac:dyDescent="0.2"/>
  <cols>
    <col min="1" max="1" width="9.7109375" style="144" customWidth="1"/>
    <col min="2" max="3" width="9.7109375" style="154" customWidth="1"/>
    <col min="4" max="7" width="12.7109375" style="154" customWidth="1"/>
    <col min="8" max="8" width="10" style="154" customWidth="1"/>
    <col min="9" max="16384" width="8.85546875" style="154"/>
  </cols>
  <sheetData>
    <row r="1" spans="1:8" s="336" customFormat="1" ht="16.149999999999999" customHeight="1" x14ac:dyDescent="0.2">
      <c r="A1" s="144"/>
      <c r="G1" s="145">
        <v>43435</v>
      </c>
      <c r="H1" s="146" t="s">
        <v>114</v>
      </c>
    </row>
    <row r="2" spans="1:8" s="336" customFormat="1" x14ac:dyDescent="0.2">
      <c r="A2" s="144"/>
      <c r="B2" s="313" t="s">
        <v>206</v>
      </c>
      <c r="C2" s="337"/>
      <c r="D2" s="337"/>
      <c r="E2" s="338"/>
      <c r="F2" s="451" t="s">
        <v>106</v>
      </c>
      <c r="G2" s="449"/>
      <c r="H2" s="144"/>
    </row>
    <row r="3" spans="1:8" s="336" customFormat="1" x14ac:dyDescent="0.2">
      <c r="A3" s="144"/>
      <c r="B3" s="316" t="s">
        <v>205</v>
      </c>
      <c r="C3" s="339"/>
      <c r="D3" s="339"/>
      <c r="E3" s="340"/>
      <c r="F3" s="451"/>
      <c r="G3" s="449"/>
      <c r="H3" s="144"/>
    </row>
    <row r="4" spans="1:8" s="336" customFormat="1" ht="24.95" customHeight="1" x14ac:dyDescent="0.2">
      <c r="A4" s="144"/>
      <c r="B4" s="341"/>
      <c r="C4" s="342"/>
      <c r="D4" s="343" t="s">
        <v>147</v>
      </c>
      <c r="E4" s="343"/>
      <c r="F4" s="343" t="s">
        <v>124</v>
      </c>
      <c r="G4" s="343"/>
      <c r="H4" s="144"/>
    </row>
    <row r="5" spans="1:8" s="336" customFormat="1" x14ac:dyDescent="0.2">
      <c r="A5" s="344"/>
      <c r="B5" s="345" t="s">
        <v>196</v>
      </c>
      <c r="C5" s="346" t="s">
        <v>195</v>
      </c>
      <c r="D5" s="288" t="s">
        <v>191</v>
      </c>
      <c r="E5" s="289" t="s">
        <v>192</v>
      </c>
      <c r="F5" s="288" t="s">
        <v>193</v>
      </c>
      <c r="G5" s="289" t="s">
        <v>194</v>
      </c>
      <c r="H5" s="144"/>
    </row>
    <row r="6" spans="1:8" s="336" customFormat="1" x14ac:dyDescent="0.2">
      <c r="A6" s="347"/>
      <c r="B6" s="348">
        <v>36</v>
      </c>
      <c r="C6" s="349">
        <v>6144.3</v>
      </c>
      <c r="D6" s="320">
        <f>ROUND(912076.04*1.03,2)</f>
        <v>939438.32</v>
      </c>
      <c r="E6" s="320">
        <f>ROUND(1241829.56*1.03,2)</f>
        <v>1279084.45</v>
      </c>
      <c r="F6" s="320">
        <f>D6/C6*1000</f>
        <v>152895.90677538529</v>
      </c>
      <c r="G6" s="320">
        <f>E6/C6*1000</f>
        <v>208174.15328027602</v>
      </c>
      <c r="H6" s="144"/>
    </row>
    <row r="7" spans="1:8" s="336" customFormat="1" x14ac:dyDescent="0.2">
      <c r="A7" s="347"/>
      <c r="B7" s="348">
        <v>40</v>
      </c>
      <c r="C7" s="349">
        <v>6905.5</v>
      </c>
      <c r="D7" s="320"/>
      <c r="E7" s="320">
        <f>ROUND(1360397.73*1.03,2)</f>
        <v>1401209.66</v>
      </c>
      <c r="F7" s="320"/>
      <c r="G7" s="320">
        <f>E7/C7*1000</f>
        <v>202912.1222214177</v>
      </c>
      <c r="H7" s="144"/>
    </row>
    <row r="8" spans="1:8" s="336" customFormat="1" x14ac:dyDescent="0.2">
      <c r="A8" s="350"/>
      <c r="B8" s="348">
        <v>45</v>
      </c>
      <c r="C8" s="351">
        <v>9064.7000000000007</v>
      </c>
      <c r="D8" s="320">
        <f>ROUND(1275502.95*1.03,2)</f>
        <v>1313768.04</v>
      </c>
      <c r="E8" s="320">
        <f>ROUND(1736650.46*1.03,2)</f>
        <v>1788749.97</v>
      </c>
      <c r="F8" s="320">
        <f>D8/C8*1000</f>
        <v>144932.32429093076</v>
      </c>
      <c r="G8" s="320">
        <f>E8/C8*1000</f>
        <v>197331.40313523888</v>
      </c>
      <c r="H8" s="157"/>
    </row>
    <row r="9" spans="1:8" s="336" customFormat="1" x14ac:dyDescent="0.2">
      <c r="A9" s="350"/>
      <c r="B9" s="348">
        <v>50</v>
      </c>
      <c r="C9" s="351">
        <v>10334</v>
      </c>
      <c r="D9" s="320">
        <f>ROUND(1433692.99*1.03,2)</f>
        <v>1476703.78</v>
      </c>
      <c r="E9" s="320">
        <f>ROUND(1952033.7*1.03,2)</f>
        <v>2010594.71</v>
      </c>
      <c r="F9" s="320">
        <f>D9/C9*1000</f>
        <v>142897.59821946971</v>
      </c>
      <c r="G9" s="320">
        <f>E9/C9*1000</f>
        <v>194561.12928198182</v>
      </c>
      <c r="H9" s="352"/>
    </row>
    <row r="10" spans="1:8" s="336" customFormat="1" x14ac:dyDescent="0.2">
      <c r="A10" s="350"/>
      <c r="B10" s="348">
        <v>55</v>
      </c>
      <c r="C10" s="351">
        <v>12732.5</v>
      </c>
      <c r="D10" s="320">
        <f>ROUND(1762374.48*1.03,2)</f>
        <v>1815245.71</v>
      </c>
      <c r="E10" s="320">
        <f>ROUND(2399547.46*1.03,2)</f>
        <v>2471533.88</v>
      </c>
      <c r="F10" s="320">
        <f>D10/C10*1000</f>
        <v>142567.89397211859</v>
      </c>
      <c r="G10" s="320">
        <f>E10/C10*1000</f>
        <v>194112.22305124678</v>
      </c>
      <c r="H10" s="352"/>
    </row>
    <row r="11" spans="1:8" s="336" customFormat="1" x14ac:dyDescent="0.2">
      <c r="A11" s="350"/>
      <c r="B11" s="353">
        <v>60</v>
      </c>
      <c r="C11" s="354">
        <v>15222</v>
      </c>
      <c r="D11" s="330">
        <f>ROUND(2097197.91*1.03,2)</f>
        <v>2160113.85</v>
      </c>
      <c r="E11" s="330"/>
      <c r="F11" s="330">
        <f>D11/C11*1000</f>
        <v>141907.3610563658</v>
      </c>
      <c r="G11" s="330"/>
      <c r="H11" s="157"/>
    </row>
    <row r="12" spans="1:8" s="336" customFormat="1" x14ac:dyDescent="0.2">
      <c r="A12" s="350"/>
      <c r="H12" s="144"/>
    </row>
    <row r="13" spans="1:8" s="144" customFormat="1" x14ac:dyDescent="0.2">
      <c r="A13" s="350"/>
      <c r="B13" s="355"/>
      <c r="C13" s="355"/>
      <c r="D13" s="355"/>
      <c r="E13" s="355"/>
      <c r="F13" s="355"/>
      <c r="G13" s="145">
        <v>43435</v>
      </c>
    </row>
    <row r="14" spans="1:8" s="144" customFormat="1" x14ac:dyDescent="0.2">
      <c r="A14" s="350"/>
      <c r="B14" s="313" t="s">
        <v>207</v>
      </c>
      <c r="C14" s="314"/>
      <c r="D14" s="314"/>
      <c r="E14" s="315"/>
      <c r="F14" s="451" t="s">
        <v>107</v>
      </c>
      <c r="G14" s="449"/>
    </row>
    <row r="15" spans="1:8" s="144" customFormat="1" x14ac:dyDescent="0.2">
      <c r="A15" s="350"/>
      <c r="B15" s="316" t="s">
        <v>208</v>
      </c>
      <c r="C15" s="317"/>
      <c r="D15" s="317"/>
      <c r="E15" s="318"/>
      <c r="F15" s="451"/>
      <c r="G15" s="449"/>
    </row>
    <row r="16" spans="1:8" s="144" customFormat="1" ht="24.75" customHeight="1" x14ac:dyDescent="0.2">
      <c r="A16" s="350"/>
      <c r="B16" s="341"/>
      <c r="C16" s="342"/>
      <c r="D16" s="343" t="s">
        <v>147</v>
      </c>
      <c r="E16" s="343"/>
      <c r="F16" s="343" t="s">
        <v>124</v>
      </c>
      <c r="G16" s="343"/>
    </row>
    <row r="17" spans="1:8" s="144" customFormat="1" x14ac:dyDescent="0.2">
      <c r="A17" s="350"/>
      <c r="B17" s="345" t="s">
        <v>196</v>
      </c>
      <c r="C17" s="346" t="s">
        <v>195</v>
      </c>
      <c r="D17" s="288" t="s">
        <v>191</v>
      </c>
      <c r="E17" s="289" t="s">
        <v>192</v>
      </c>
      <c r="F17" s="288" t="s">
        <v>193</v>
      </c>
      <c r="G17" s="289" t="s">
        <v>194</v>
      </c>
    </row>
    <row r="18" spans="1:8" s="144" customFormat="1" x14ac:dyDescent="0.2">
      <c r="A18" s="350"/>
      <c r="B18" s="348">
        <v>20</v>
      </c>
      <c r="C18" s="351">
        <v>1560</v>
      </c>
      <c r="D18" s="320">
        <f>ROUND(218416.26*1.03,2)</f>
        <v>224968.75</v>
      </c>
      <c r="E18" s="320">
        <f>ROUND(297169.41*1.03,2)</f>
        <v>306084.49</v>
      </c>
      <c r="F18" s="320">
        <f>D18/C18*1000</f>
        <v>144210.73717948719</v>
      </c>
      <c r="G18" s="320">
        <f t="shared" ref="G18:G28" si="0">E18/C18*1000</f>
        <v>196208.00641025641</v>
      </c>
      <c r="H18" s="157"/>
    </row>
    <row r="19" spans="1:8" s="144" customFormat="1" x14ac:dyDescent="0.2">
      <c r="A19" s="350"/>
      <c r="B19" s="348">
        <v>22</v>
      </c>
      <c r="C19" s="351">
        <v>1842</v>
      </c>
      <c r="D19" s="320">
        <f>ROUND(245484.48*1.03,2)</f>
        <v>252849.01</v>
      </c>
      <c r="E19" s="320">
        <f>ROUND(334207.76*1.03,2)</f>
        <v>344233.99</v>
      </c>
      <c r="F19" s="320">
        <f t="shared" ref="F19:F28" si="1">D19/C19*1000</f>
        <v>137268.73507057547</v>
      </c>
      <c r="G19" s="320">
        <f t="shared" si="0"/>
        <v>186880.55917480998</v>
      </c>
      <c r="H19" s="157"/>
    </row>
    <row r="20" spans="1:8" s="144" customFormat="1" x14ac:dyDescent="0.2">
      <c r="A20" s="350"/>
      <c r="B20" s="348">
        <v>25</v>
      </c>
      <c r="C20" s="351">
        <v>2402.5</v>
      </c>
      <c r="D20" s="320">
        <f>ROUND(312439.55*1.03,2)</f>
        <v>321812.74</v>
      </c>
      <c r="E20" s="320">
        <f>ROUND(425217.33*1.03,2)</f>
        <v>437973.85</v>
      </c>
      <c r="F20" s="320">
        <f t="shared" si="1"/>
        <v>133949.11134235171</v>
      </c>
      <c r="G20" s="320">
        <f t="shared" si="0"/>
        <v>182299.209157128</v>
      </c>
      <c r="H20" s="157"/>
    </row>
    <row r="21" spans="1:8" s="144" customFormat="1" x14ac:dyDescent="0.2">
      <c r="A21" s="350"/>
      <c r="B21" s="348">
        <v>27</v>
      </c>
      <c r="C21" s="351">
        <v>2808.5</v>
      </c>
      <c r="D21" s="320">
        <f>ROUND(362078.1*1.03,2)</f>
        <v>372940.44</v>
      </c>
      <c r="E21" s="320">
        <f>ROUND(492886.9*1.03,2)</f>
        <v>507673.51</v>
      </c>
      <c r="F21" s="320">
        <f t="shared" si="1"/>
        <v>132789.90208296245</v>
      </c>
      <c r="G21" s="320">
        <f t="shared" si="0"/>
        <v>180763.22236069076</v>
      </c>
      <c r="H21" s="157"/>
    </row>
    <row r="22" spans="1:8" s="144" customFormat="1" x14ac:dyDescent="0.2">
      <c r="A22" s="350"/>
      <c r="B22" s="348">
        <v>30</v>
      </c>
      <c r="C22" s="351">
        <v>3421.5</v>
      </c>
      <c r="D22" s="320">
        <f>ROUND(438165.64*1.03,2)</f>
        <v>451310.61</v>
      </c>
      <c r="E22" s="320">
        <f>ROUND(596245.18*1.03,2)</f>
        <v>614132.54</v>
      </c>
      <c r="F22" s="320">
        <f t="shared" si="1"/>
        <v>131904.31389741341</v>
      </c>
      <c r="G22" s="320">
        <f t="shared" si="0"/>
        <v>179492.19348239078</v>
      </c>
      <c r="H22" s="157"/>
    </row>
    <row r="23" spans="1:8" s="144" customFormat="1" x14ac:dyDescent="0.2">
      <c r="A23" s="350"/>
      <c r="B23" s="348">
        <v>32</v>
      </c>
      <c r="C23" s="351">
        <v>4060</v>
      </c>
      <c r="D23" s="320">
        <f>ROUND(515918.47*1.03,2)</f>
        <v>531396.02</v>
      </c>
      <c r="E23" s="320">
        <f>ROUND(702401.01*1.03,2)</f>
        <v>723473.04</v>
      </c>
      <c r="F23" s="320">
        <f t="shared" si="1"/>
        <v>130885.71921182268</v>
      </c>
      <c r="G23" s="320">
        <f t="shared" si="0"/>
        <v>178195.3300492611</v>
      </c>
      <c r="H23" s="157"/>
    </row>
    <row r="24" spans="1:8" s="144" customFormat="1" x14ac:dyDescent="0.2">
      <c r="A24" s="350"/>
      <c r="B24" s="348">
        <v>34</v>
      </c>
      <c r="C24" s="351">
        <v>4552.5</v>
      </c>
      <c r="D24" s="320">
        <f>ROUND(575667.28*1.03,2)</f>
        <v>592937.30000000005</v>
      </c>
      <c r="E24" s="320">
        <f>ROUND(783695.86*1.03,2)</f>
        <v>807206.74</v>
      </c>
      <c r="F24" s="320">
        <f t="shared" si="1"/>
        <v>130244.32729269634</v>
      </c>
      <c r="G24" s="320">
        <f t="shared" si="0"/>
        <v>177310.65129049972</v>
      </c>
      <c r="H24" s="157"/>
    </row>
    <row r="25" spans="1:8" s="144" customFormat="1" x14ac:dyDescent="0.2">
      <c r="A25" s="350"/>
      <c r="B25" s="348">
        <v>36</v>
      </c>
      <c r="C25" s="351">
        <v>5048</v>
      </c>
      <c r="D25" s="320">
        <f>ROUND(635190.84*1.03,2)</f>
        <v>654246.56999999995</v>
      </c>
      <c r="E25" s="320">
        <f>ROUND(864326.19*1.03,2)</f>
        <v>890255.98</v>
      </c>
      <c r="F25" s="320">
        <f t="shared" si="1"/>
        <v>129605.10499207607</v>
      </c>
      <c r="G25" s="320">
        <f t="shared" si="0"/>
        <v>176358.15768621236</v>
      </c>
      <c r="H25" s="157"/>
    </row>
    <row r="26" spans="1:8" s="144" customFormat="1" x14ac:dyDescent="0.2">
      <c r="A26" s="350"/>
      <c r="B26" s="348">
        <v>38</v>
      </c>
      <c r="C26" s="351">
        <v>5592</v>
      </c>
      <c r="D26" s="320">
        <f>ROUND(697730.94*1.03,2)</f>
        <v>718662.87</v>
      </c>
      <c r="E26" s="320">
        <f>ROUND(949262.81*1.03,2)</f>
        <v>977740.69</v>
      </c>
      <c r="F26" s="320">
        <f t="shared" si="1"/>
        <v>128516.24999999999</v>
      </c>
      <c r="G26" s="320">
        <f t="shared" si="0"/>
        <v>174846.33226037194</v>
      </c>
      <c r="H26" s="157"/>
    </row>
    <row r="27" spans="1:8" s="144" customFormat="1" x14ac:dyDescent="0.2">
      <c r="A27" s="350"/>
      <c r="B27" s="348">
        <v>40</v>
      </c>
      <c r="C27" s="351">
        <v>6497.5</v>
      </c>
      <c r="D27" s="320">
        <f>ROUND(806247.1*1.03,2)</f>
        <v>830434.51</v>
      </c>
      <c r="E27" s="320">
        <f>ROUND(1097649.02*1.03,2)</f>
        <v>1130578.49</v>
      </c>
      <c r="F27" s="320">
        <f t="shared" si="1"/>
        <v>127808.31242785687</v>
      </c>
      <c r="G27" s="320">
        <f t="shared" si="0"/>
        <v>174002.07618314735</v>
      </c>
      <c r="H27" s="157"/>
    </row>
    <row r="28" spans="1:8" s="144" customFormat="1" x14ac:dyDescent="0.2">
      <c r="A28" s="350"/>
      <c r="B28" s="353">
        <v>50</v>
      </c>
      <c r="C28" s="354">
        <v>9624.5</v>
      </c>
      <c r="D28" s="330">
        <f>ROUND(1179496.25*1.03,2)</f>
        <v>1214881.1399999999</v>
      </c>
      <c r="E28" s="330">
        <f>ROUND(1605335.85*1.03,2)</f>
        <v>1653495.93</v>
      </c>
      <c r="F28" s="330">
        <f t="shared" si="1"/>
        <v>126227.97444023065</v>
      </c>
      <c r="G28" s="330">
        <f t="shared" si="0"/>
        <v>171800.70964725441</v>
      </c>
      <c r="H28" s="157"/>
    </row>
    <row r="29" spans="1:8" s="144" customFormat="1" x14ac:dyDescent="0.2">
      <c r="A29" s="350"/>
      <c r="B29" s="152" t="s">
        <v>149</v>
      </c>
      <c r="C29" s="153"/>
      <c r="D29" s="153"/>
      <c r="E29" s="153"/>
      <c r="F29" s="153"/>
      <c r="G29" s="153"/>
    </row>
    <row r="30" spans="1:8" ht="13.9" customHeight="1" x14ac:dyDescent="0.2">
      <c r="A30" s="350"/>
      <c r="G30" s="145">
        <v>43241</v>
      </c>
      <c r="H30" s="144"/>
    </row>
    <row r="31" spans="1:8" x14ac:dyDescent="0.2">
      <c r="A31" s="350"/>
      <c r="B31" s="321" t="s">
        <v>127</v>
      </c>
      <c r="C31" s="322"/>
      <c r="D31" s="322"/>
      <c r="E31" s="323"/>
      <c r="F31" s="451" t="s">
        <v>39</v>
      </c>
      <c r="G31" s="449"/>
      <c r="H31" s="144"/>
    </row>
    <row r="32" spans="1:8" x14ac:dyDescent="0.2">
      <c r="A32" s="350"/>
      <c r="B32" s="356" t="s">
        <v>0</v>
      </c>
      <c r="C32" s="357"/>
      <c r="D32" s="357"/>
      <c r="E32" s="358"/>
      <c r="F32" s="451"/>
      <c r="G32" s="449"/>
      <c r="H32" s="144"/>
    </row>
    <row r="33" spans="1:8" x14ac:dyDescent="0.2">
      <c r="A33" s="350"/>
      <c r="B33" s="324" t="s">
        <v>1</v>
      </c>
      <c r="C33" s="325"/>
      <c r="D33" s="325"/>
      <c r="E33" s="326"/>
      <c r="F33" s="451"/>
      <c r="G33" s="449"/>
      <c r="H33" s="144"/>
    </row>
    <row r="34" spans="1:8" ht="24.95" customHeight="1" x14ac:dyDescent="0.2">
      <c r="A34" s="350"/>
      <c r="B34" s="452" t="s">
        <v>2</v>
      </c>
      <c r="C34" s="452" t="s">
        <v>146</v>
      </c>
      <c r="D34" s="343" t="s">
        <v>147</v>
      </c>
      <c r="E34" s="343"/>
      <c r="F34" s="343" t="s">
        <v>124</v>
      </c>
      <c r="G34" s="343"/>
      <c r="H34" s="144"/>
    </row>
    <row r="35" spans="1:8" x14ac:dyDescent="0.2">
      <c r="A35" s="350"/>
      <c r="B35" s="453"/>
      <c r="C35" s="453"/>
      <c r="D35" s="359" t="s">
        <v>7</v>
      </c>
      <c r="E35" s="359"/>
      <c r="F35" s="359" t="s">
        <v>7</v>
      </c>
      <c r="G35" s="359"/>
      <c r="H35" s="144"/>
    </row>
    <row r="36" spans="1:8" x14ac:dyDescent="0.2">
      <c r="A36" s="360"/>
      <c r="B36" s="373" t="s">
        <v>196</v>
      </c>
      <c r="C36" s="373" t="s">
        <v>195</v>
      </c>
      <c r="D36" s="373" t="s">
        <v>191</v>
      </c>
      <c r="E36" s="373" t="s">
        <v>192</v>
      </c>
      <c r="F36" s="373" t="s">
        <v>193</v>
      </c>
      <c r="G36" s="373" t="s">
        <v>194</v>
      </c>
      <c r="H36" s="144"/>
    </row>
    <row r="37" spans="1:8" x14ac:dyDescent="0.2">
      <c r="A37" s="350"/>
      <c r="B37" s="370">
        <v>25</v>
      </c>
      <c r="C37" s="327">
        <v>2660</v>
      </c>
      <c r="D37" s="361">
        <f>ROUND(267006.94*1.1,2)</f>
        <v>293707.63</v>
      </c>
      <c r="E37" s="362"/>
      <c r="F37" s="361">
        <f>D37/C37*1000</f>
        <v>110416.4022556391</v>
      </c>
      <c r="G37" s="372"/>
      <c r="H37" s="144"/>
    </row>
    <row r="38" spans="1:8" x14ac:dyDescent="0.2">
      <c r="A38" s="350"/>
      <c r="B38" s="370">
        <v>28</v>
      </c>
      <c r="C38" s="327">
        <v>3380</v>
      </c>
      <c r="D38" s="361">
        <f>ROUND(330439.42*1.1,2)</f>
        <v>363483.36</v>
      </c>
      <c r="E38" s="362"/>
      <c r="F38" s="361">
        <f>D38/C38*1000</f>
        <v>107539.45562130176</v>
      </c>
      <c r="G38" s="372"/>
      <c r="H38" s="144"/>
    </row>
    <row r="39" spans="1:8" x14ac:dyDescent="0.2">
      <c r="A39" s="350"/>
      <c r="B39" s="370">
        <v>32</v>
      </c>
      <c r="C39" s="327">
        <v>4200</v>
      </c>
      <c r="D39" s="361">
        <f>ROUND(387410.27*1.1,2)</f>
        <v>426151.3</v>
      </c>
      <c r="E39" s="362"/>
      <c r="F39" s="361">
        <f>D39/C39*1000</f>
        <v>101464.59523809524</v>
      </c>
      <c r="G39" s="372"/>
      <c r="H39" s="144"/>
    </row>
    <row r="40" spans="1:8" x14ac:dyDescent="0.2">
      <c r="A40" s="350"/>
      <c r="B40" s="370">
        <v>35</v>
      </c>
      <c r="C40" s="327">
        <v>5050</v>
      </c>
      <c r="D40" s="361">
        <f>ROUND(451629.82*1.1,2)</f>
        <v>496792.8</v>
      </c>
      <c r="E40" s="362"/>
      <c r="F40" s="361">
        <f>D40/C40*1000</f>
        <v>98374.811881188129</v>
      </c>
      <c r="G40" s="372"/>
      <c r="H40" s="144"/>
    </row>
    <row r="41" spans="1:8" x14ac:dyDescent="0.2">
      <c r="A41" s="350"/>
      <c r="B41" s="371">
        <v>38</v>
      </c>
      <c r="C41" s="331">
        <v>5980</v>
      </c>
      <c r="D41" s="361">
        <f>ROUND(561946.17*1.1,2)</f>
        <v>618140.79</v>
      </c>
      <c r="E41" s="362"/>
      <c r="F41" s="361">
        <f>D41/C41*1000</f>
        <v>103368.02508361204</v>
      </c>
      <c r="G41" s="372"/>
      <c r="H41" s="144"/>
    </row>
    <row r="42" spans="1:8" x14ac:dyDescent="0.2">
      <c r="A42" s="350"/>
      <c r="B42" s="373" t="s">
        <v>196</v>
      </c>
      <c r="C42" s="373" t="s">
        <v>195</v>
      </c>
      <c r="D42" s="373" t="s">
        <v>191</v>
      </c>
      <c r="E42" s="373" t="s">
        <v>192</v>
      </c>
      <c r="F42" s="373" t="s">
        <v>193</v>
      </c>
      <c r="G42" s="373" t="s">
        <v>194</v>
      </c>
      <c r="H42" s="144"/>
    </row>
    <row r="43" spans="1:8" x14ac:dyDescent="0.2">
      <c r="A43" s="350"/>
      <c r="B43" s="370">
        <v>25</v>
      </c>
      <c r="C43" s="327">
        <v>2450</v>
      </c>
      <c r="D43" s="361">
        <f>ROUND(259947.52*1.1,2)</f>
        <v>285942.27</v>
      </c>
      <c r="E43" s="362"/>
      <c r="F43" s="361">
        <f>D43/C43*1000</f>
        <v>116711.1306122449</v>
      </c>
      <c r="G43" s="372"/>
      <c r="H43" s="144"/>
    </row>
    <row r="44" spans="1:8" x14ac:dyDescent="0.2">
      <c r="A44" s="350"/>
      <c r="B44" s="370">
        <v>28</v>
      </c>
      <c r="C44" s="327">
        <v>3000</v>
      </c>
      <c r="D44" s="361">
        <f>ROUND(308251.17*1.1,2)</f>
        <v>339076.29</v>
      </c>
      <c r="E44" s="362"/>
      <c r="F44" s="361">
        <f>D44/C44*1000</f>
        <v>113025.43</v>
      </c>
      <c r="G44" s="372"/>
      <c r="H44" s="144"/>
    </row>
    <row r="45" spans="1:8" x14ac:dyDescent="0.2">
      <c r="A45" s="350"/>
      <c r="B45" s="370">
        <v>32</v>
      </c>
      <c r="C45" s="327">
        <v>3800</v>
      </c>
      <c r="D45" s="361">
        <f>ROUND(384957.73*1.1,2)</f>
        <v>423453.5</v>
      </c>
      <c r="E45" s="362"/>
      <c r="F45" s="361">
        <f>D45/C45*1000</f>
        <v>111435.13157894736</v>
      </c>
      <c r="G45" s="372"/>
      <c r="H45" s="144"/>
    </row>
    <row r="46" spans="1:8" x14ac:dyDescent="0.2">
      <c r="A46" s="350"/>
      <c r="B46" s="370">
        <v>35</v>
      </c>
      <c r="C46" s="327">
        <v>4640</v>
      </c>
      <c r="D46" s="361">
        <f>ROUND(469018.77*1.1,2)</f>
        <v>515920.65</v>
      </c>
      <c r="E46" s="362"/>
      <c r="F46" s="361">
        <f>D46/C46*1000</f>
        <v>111189.7952586207</v>
      </c>
      <c r="G46" s="372"/>
      <c r="H46" s="144"/>
    </row>
    <row r="47" spans="1:8" x14ac:dyDescent="0.2">
      <c r="A47" s="350"/>
      <c r="B47" s="371">
        <v>38</v>
      </c>
      <c r="C47" s="331">
        <v>5450</v>
      </c>
      <c r="D47" s="374">
        <f>ROUND(549649.44*1.1,2)</f>
        <v>604614.38</v>
      </c>
      <c r="E47" s="375"/>
      <c r="F47" s="374">
        <f>D47/C47*1000</f>
        <v>110938.41834862386</v>
      </c>
      <c r="G47" s="376"/>
      <c r="H47" s="144"/>
    </row>
    <row r="48" spans="1:8" x14ac:dyDescent="0.2">
      <c r="A48" s="350"/>
      <c r="B48" s="282"/>
      <c r="C48" s="363"/>
      <c r="D48" s="364"/>
      <c r="E48" s="364"/>
      <c r="F48" s="364"/>
      <c r="G48" s="364"/>
      <c r="H48" s="144"/>
    </row>
    <row r="49" spans="1:8" x14ac:dyDescent="0.2">
      <c r="A49" s="350"/>
      <c r="B49" s="282"/>
      <c r="C49" s="363"/>
      <c r="D49" s="364"/>
      <c r="E49" s="364"/>
      <c r="F49" s="364"/>
      <c r="G49" s="145">
        <v>43241</v>
      </c>
      <c r="H49" s="144"/>
    </row>
    <row r="50" spans="1:8" x14ac:dyDescent="0.2">
      <c r="B50" s="313" t="s">
        <v>209</v>
      </c>
      <c r="C50" s="314"/>
      <c r="D50" s="314"/>
      <c r="E50" s="315"/>
      <c r="F50" s="451" t="s">
        <v>128</v>
      </c>
      <c r="G50" s="449"/>
      <c r="H50" s="144"/>
    </row>
    <row r="51" spans="1:8" x14ac:dyDescent="0.2">
      <c r="B51" s="365" t="s">
        <v>210</v>
      </c>
      <c r="C51" s="366"/>
      <c r="D51" s="366"/>
      <c r="E51" s="367"/>
      <c r="F51" s="451"/>
      <c r="G51" s="449"/>
      <c r="H51" s="144"/>
    </row>
    <row r="52" spans="1:8" x14ac:dyDescent="0.2">
      <c r="B52" s="316" t="s">
        <v>211</v>
      </c>
      <c r="C52" s="317"/>
      <c r="D52" s="317"/>
      <c r="E52" s="318"/>
      <c r="F52" s="451"/>
      <c r="G52" s="449"/>
      <c r="H52" s="144"/>
    </row>
    <row r="53" spans="1:8" ht="24.95" customHeight="1" x14ac:dyDescent="0.2">
      <c r="B53" s="454" t="s">
        <v>2</v>
      </c>
      <c r="C53" s="452" t="s">
        <v>146</v>
      </c>
      <c r="D53" s="343" t="s">
        <v>147</v>
      </c>
      <c r="E53" s="343"/>
      <c r="F53" s="343" t="s">
        <v>124</v>
      </c>
      <c r="G53" s="343"/>
      <c r="H53" s="144"/>
    </row>
    <row r="54" spans="1:8" x14ac:dyDescent="0.2">
      <c r="B54" s="455"/>
      <c r="C54" s="453"/>
      <c r="D54" s="359" t="s">
        <v>7</v>
      </c>
      <c r="E54" s="368"/>
      <c r="F54" s="359" t="s">
        <v>7</v>
      </c>
      <c r="G54" s="368"/>
      <c r="H54" s="144"/>
    </row>
    <row r="55" spans="1:8" x14ac:dyDescent="0.2">
      <c r="B55" s="380" t="s">
        <v>196</v>
      </c>
      <c r="C55" s="380" t="s">
        <v>195</v>
      </c>
      <c r="D55" s="380" t="s">
        <v>191</v>
      </c>
      <c r="E55" s="380" t="s">
        <v>192</v>
      </c>
      <c r="F55" s="380" t="s">
        <v>193</v>
      </c>
      <c r="G55" s="380" t="s">
        <v>194</v>
      </c>
      <c r="H55" s="144"/>
    </row>
    <row r="56" spans="1:8" x14ac:dyDescent="0.2">
      <c r="B56" s="377">
        <v>25</v>
      </c>
      <c r="C56" s="369">
        <v>2556.1999735688901</v>
      </c>
      <c r="D56" s="361">
        <f>ROUND(269749.96*1.1,2)</f>
        <v>296724.96000000002</v>
      </c>
      <c r="E56" s="361"/>
      <c r="F56" s="361">
        <f>D56/C56*1000</f>
        <v>116080.49568427211</v>
      </c>
      <c r="G56" s="379"/>
      <c r="H56" s="144"/>
    </row>
    <row r="57" spans="1:8" x14ac:dyDescent="0.2">
      <c r="B57" s="377">
        <v>28</v>
      </c>
      <c r="C57" s="320">
        <v>3192.2</v>
      </c>
      <c r="D57" s="361">
        <f>ROUND(333834.09*1.1,2)</f>
        <v>367217.5</v>
      </c>
      <c r="E57" s="361"/>
      <c r="F57" s="361">
        <f>D57/C57*1000</f>
        <v>115035.86867990727</v>
      </c>
      <c r="G57" s="379"/>
      <c r="H57" s="144"/>
    </row>
    <row r="58" spans="1:8" x14ac:dyDescent="0.2">
      <c r="B58" s="377">
        <v>32</v>
      </c>
      <c r="C58" s="320">
        <v>4229</v>
      </c>
      <c r="D58" s="361">
        <f>ROUND(391390.19*1.1,2)</f>
        <v>430529.21</v>
      </c>
      <c r="E58" s="361"/>
      <c r="F58" s="361">
        <f>D58/C58*1000</f>
        <v>101804.02222747695</v>
      </c>
      <c r="G58" s="379"/>
      <c r="H58" s="144"/>
    </row>
    <row r="59" spans="1:8" x14ac:dyDescent="0.2">
      <c r="B59" s="377">
        <v>35</v>
      </c>
      <c r="C59" s="320">
        <v>5046.1000000000004</v>
      </c>
      <c r="D59" s="361">
        <f>ROUND(456269.47*1.1,2)</f>
        <v>501896.42</v>
      </c>
      <c r="E59" s="361"/>
      <c r="F59" s="361">
        <f>D59/C59*1000</f>
        <v>99462.242127583668</v>
      </c>
      <c r="G59" s="379"/>
      <c r="H59" s="144"/>
    </row>
    <row r="60" spans="1:8" x14ac:dyDescent="0.2">
      <c r="B60" s="378">
        <v>38</v>
      </c>
      <c r="C60" s="330">
        <v>5861.5</v>
      </c>
      <c r="D60" s="361">
        <f>ROUND(567719.11*1.1,2)</f>
        <v>624491.02</v>
      </c>
      <c r="E60" s="361"/>
      <c r="F60" s="361">
        <f>D60/C60*1000</f>
        <v>106541.16181864712</v>
      </c>
      <c r="G60" s="379"/>
      <c r="H60" s="144"/>
    </row>
    <row r="61" spans="1:8" x14ac:dyDescent="0.2">
      <c r="B61" s="380" t="s">
        <v>196</v>
      </c>
      <c r="C61" s="380" t="s">
        <v>195</v>
      </c>
      <c r="D61" s="380" t="s">
        <v>191</v>
      </c>
      <c r="E61" s="380" t="s">
        <v>192</v>
      </c>
      <c r="F61" s="380" t="s">
        <v>193</v>
      </c>
      <c r="G61" s="380" t="s">
        <v>194</v>
      </c>
      <c r="H61" s="144"/>
    </row>
    <row r="62" spans="1:8" x14ac:dyDescent="0.2">
      <c r="B62" s="377">
        <v>25</v>
      </c>
      <c r="C62" s="369">
        <v>2669.1</v>
      </c>
      <c r="D62" s="361">
        <f>ROUND(302119.97*1.1,2)</f>
        <v>332331.96999999997</v>
      </c>
      <c r="E62" s="361"/>
      <c r="F62" s="361">
        <f>D62/C62*1000</f>
        <v>124510.87257877187</v>
      </c>
      <c r="G62" s="379"/>
      <c r="H62" s="144"/>
    </row>
    <row r="63" spans="1:8" x14ac:dyDescent="0.2">
      <c r="B63" s="377">
        <v>28</v>
      </c>
      <c r="C63" s="320">
        <v>3366.2</v>
      </c>
      <c r="D63" s="361">
        <f>ROUND(373894.18*1.1,2)</f>
        <v>411283.6</v>
      </c>
      <c r="E63" s="361"/>
      <c r="F63" s="361">
        <f>D63/C63*1000</f>
        <v>122180.38143901134</v>
      </c>
      <c r="G63" s="379"/>
      <c r="H63" s="144"/>
    </row>
    <row r="64" spans="1:8" x14ac:dyDescent="0.2">
      <c r="B64" s="377">
        <v>32</v>
      </c>
      <c r="C64" s="320">
        <v>4318.3</v>
      </c>
      <c r="D64" s="361">
        <f>ROUND(438357.01*1.1,2)</f>
        <v>482192.71</v>
      </c>
      <c r="E64" s="361"/>
      <c r="F64" s="361">
        <f>D64/C64*1000</f>
        <v>111662.62418081189</v>
      </c>
      <c r="G64" s="379"/>
      <c r="H64" s="144"/>
    </row>
    <row r="65" spans="2:7" x14ac:dyDescent="0.2">
      <c r="B65" s="377">
        <v>35</v>
      </c>
      <c r="C65" s="320">
        <v>5291.4</v>
      </c>
      <c r="D65" s="361">
        <f>ROUND(511021.82*1.1,2)</f>
        <v>562124</v>
      </c>
      <c r="E65" s="361"/>
      <c r="F65" s="361">
        <f>D65/C65*1000</f>
        <v>106233.5109800809</v>
      </c>
      <c r="G65" s="379"/>
    </row>
    <row r="66" spans="2:7" x14ac:dyDescent="0.2">
      <c r="B66" s="378">
        <v>38</v>
      </c>
      <c r="C66" s="330">
        <v>6149.1</v>
      </c>
      <c r="D66" s="374">
        <f>ROUND(635845.42*1.1,2)</f>
        <v>699429.96</v>
      </c>
      <c r="E66" s="374"/>
      <c r="F66" s="374">
        <f>D66/C66*1000</f>
        <v>113745.09440405911</v>
      </c>
      <c r="G66" s="381"/>
    </row>
  </sheetData>
  <mergeCells count="8">
    <mergeCell ref="F2:G3"/>
    <mergeCell ref="F31:G33"/>
    <mergeCell ref="F14:G15"/>
    <mergeCell ref="C34:C35"/>
    <mergeCell ref="B53:B54"/>
    <mergeCell ref="C53:C54"/>
    <mergeCell ref="B34:B35"/>
    <mergeCell ref="F50:G52"/>
  </mergeCells>
  <phoneticPr fontId="0" type="noConversion"/>
  <hyperlinks>
    <hyperlink ref="H1" location="'2'!A1" display="Оглавление"/>
  </hyperlinks>
  <printOptions horizontalCentered="1"/>
  <pageMargins left="0.39370078740157483" right="0.39370078740157483" top="0.51181102362204722" bottom="0.78740157480314965" header="0.15748031496062992" footer="0.51181102362204722"/>
  <pageSetup paperSize="9" scale="85" orientation="portrait" r:id="rId1"/>
  <headerFooter alignWithMargins="0">
    <oddHeader>&amp;A</oddHeader>
  </headerFooter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G597"/>
  <sheetViews>
    <sheetView workbookViewId="0">
      <pane ySplit="1" topLeftCell="A2" activePane="bottomLeft" state="frozen"/>
      <selection pane="bottomLeft" activeCell="G2" sqref="G2"/>
    </sheetView>
  </sheetViews>
  <sheetFormatPr defaultRowHeight="12.75" x14ac:dyDescent="0.2"/>
  <cols>
    <col min="2" max="2" width="24" bestFit="1" customWidth="1"/>
  </cols>
  <sheetData>
    <row r="1" spans="1:7" x14ac:dyDescent="0.2">
      <c r="A1" s="114" t="s">
        <v>176</v>
      </c>
      <c r="B1" s="114" t="s">
        <v>169</v>
      </c>
      <c r="C1" s="114" t="s">
        <v>170</v>
      </c>
      <c r="D1" s="114" t="s">
        <v>173</v>
      </c>
      <c r="E1" s="114" t="s">
        <v>171</v>
      </c>
      <c r="F1" s="114" t="s">
        <v>172</v>
      </c>
      <c r="G1" t="s">
        <v>183</v>
      </c>
    </row>
    <row r="2" spans="1:7" x14ac:dyDescent="0.2">
      <c r="A2" t="str">
        <f>B2&amp;C2</f>
        <v>ГОСТ 2172-801,8</v>
      </c>
      <c r="B2" t="s">
        <v>109</v>
      </c>
      <c r="C2" s="115">
        <f>'4'!B6</f>
        <v>1.8</v>
      </c>
      <c r="F2">
        <f>'4'!E6</f>
        <v>7912.3</v>
      </c>
    </row>
    <row r="3" spans="1:7" x14ac:dyDescent="0.2">
      <c r="A3" t="str">
        <f t="shared" ref="A3:A66" si="0">B3&amp;C3</f>
        <v>ГОСТ 2172-802,2</v>
      </c>
      <c r="B3" t="s">
        <v>109</v>
      </c>
      <c r="C3" s="115">
        <f>'4'!B7</f>
        <v>2.2000000000000002</v>
      </c>
      <c r="F3">
        <f>'4'!E7</f>
        <v>8691.94</v>
      </c>
    </row>
    <row r="4" spans="1:7" x14ac:dyDescent="0.2">
      <c r="A4" t="str">
        <f t="shared" si="0"/>
        <v>ГОСТ 2172-802,4</v>
      </c>
      <c r="B4" t="s">
        <v>109</v>
      </c>
      <c r="C4" s="115">
        <f>'4'!B8</f>
        <v>2.4</v>
      </c>
      <c r="F4">
        <f>'4'!E8</f>
        <v>10002.870000000001</v>
      </c>
    </row>
    <row r="5" spans="1:7" x14ac:dyDescent="0.2">
      <c r="A5" t="str">
        <f t="shared" si="0"/>
        <v>ГОСТ 2172-802,5</v>
      </c>
      <c r="B5" t="s">
        <v>109</v>
      </c>
      <c r="C5" s="115">
        <f>'4'!B9</f>
        <v>2.5</v>
      </c>
      <c r="F5">
        <f>'4'!E9</f>
        <v>10559.29</v>
      </c>
    </row>
    <row r="6" spans="1:7" x14ac:dyDescent="0.2">
      <c r="A6" t="str">
        <f t="shared" si="0"/>
        <v>ГОСТ 2172-803,2</v>
      </c>
      <c r="B6" t="s">
        <v>109</v>
      </c>
      <c r="C6" s="115">
        <f>'4'!B11</f>
        <v>3.2</v>
      </c>
      <c r="F6">
        <f>'4'!E11</f>
        <v>22620.18</v>
      </c>
    </row>
    <row r="7" spans="1:7" x14ac:dyDescent="0.2">
      <c r="A7" t="str">
        <f t="shared" si="0"/>
        <v>ГОСТ 2172-803,6</v>
      </c>
      <c r="B7" t="s">
        <v>109</v>
      </c>
      <c r="C7" s="115">
        <f>'4'!B12</f>
        <v>3.6</v>
      </c>
      <c r="F7">
        <f>'4'!E12</f>
        <v>24051.5</v>
      </c>
    </row>
    <row r="8" spans="1:7" x14ac:dyDescent="0.2">
      <c r="A8" t="str">
        <f t="shared" si="0"/>
        <v>ГОСТ 2172-804</v>
      </c>
      <c r="B8" t="s">
        <v>109</v>
      </c>
      <c r="C8" s="115">
        <f>'4'!B13</f>
        <v>4</v>
      </c>
      <c r="F8">
        <f>'4'!E13</f>
        <v>30333.200000000001</v>
      </c>
    </row>
    <row r="9" spans="1:7" x14ac:dyDescent="0.2">
      <c r="A9" t="str">
        <f t="shared" si="0"/>
        <v>ГОСТ 2172-804,5</v>
      </c>
      <c r="B9" t="s">
        <v>109</v>
      </c>
      <c r="C9" s="115">
        <f>'4'!B14</f>
        <v>4.5</v>
      </c>
      <c r="F9">
        <f>'4'!E14</f>
        <v>34055.269999999997</v>
      </c>
    </row>
    <row r="10" spans="1:7" x14ac:dyDescent="0.2">
      <c r="A10" t="str">
        <f t="shared" si="0"/>
        <v>ГОСТ 2172-805</v>
      </c>
      <c r="B10" t="s">
        <v>109</v>
      </c>
      <c r="C10" s="115">
        <f>'4'!B15</f>
        <v>5</v>
      </c>
      <c r="F10">
        <f>'4'!E15</f>
        <v>38308.519999999997</v>
      </c>
    </row>
    <row r="11" spans="1:7" x14ac:dyDescent="0.2">
      <c r="A11" t="str">
        <f t="shared" si="0"/>
        <v>ГОСТ 2172-805,6</v>
      </c>
      <c r="B11" t="s">
        <v>109</v>
      </c>
      <c r="C11" s="115">
        <f>'4'!B16</f>
        <v>5.6</v>
      </c>
      <c r="F11">
        <f>'4'!E16</f>
        <v>45011.77</v>
      </c>
    </row>
    <row r="12" spans="1:7" x14ac:dyDescent="0.2">
      <c r="A12" t="str">
        <f t="shared" si="0"/>
        <v>ГОСТ 2172-806</v>
      </c>
      <c r="B12" t="s">
        <v>109</v>
      </c>
      <c r="C12" s="115">
        <f>'4'!B17</f>
        <v>6</v>
      </c>
      <c r="F12">
        <f>'4'!E17</f>
        <v>45240.56</v>
      </c>
    </row>
    <row r="13" spans="1:7" x14ac:dyDescent="0.2">
      <c r="A13" t="str">
        <f t="shared" si="0"/>
        <v>ГОСТ 2172-806,4</v>
      </c>
      <c r="B13" t="s">
        <v>109</v>
      </c>
      <c r="C13" s="115">
        <f>'4'!B18</f>
        <v>6.4</v>
      </c>
      <c r="F13">
        <f>'4'!E18</f>
        <v>50456.58</v>
      </c>
    </row>
    <row r="14" spans="1:7" x14ac:dyDescent="0.2">
      <c r="A14" t="str">
        <f t="shared" si="0"/>
        <v>ГОСТ 2688-803,6</v>
      </c>
      <c r="B14" t="s">
        <v>174</v>
      </c>
      <c r="C14" s="116">
        <f>'4'!B25</f>
        <v>3.6</v>
      </c>
      <c r="E14">
        <f>'4'!D25</f>
        <v>16325.85</v>
      </c>
      <c r="F14">
        <f>'4'!E25</f>
        <v>19673.27</v>
      </c>
    </row>
    <row r="15" spans="1:7" x14ac:dyDescent="0.2">
      <c r="A15" t="str">
        <f t="shared" si="0"/>
        <v>ГОСТ 2688-803,8</v>
      </c>
      <c r="B15" t="s">
        <v>174</v>
      </c>
      <c r="C15" s="116">
        <f>'4'!B26</f>
        <v>3.8</v>
      </c>
      <c r="E15">
        <f>'4'!D26</f>
        <v>17418.05</v>
      </c>
      <c r="F15">
        <f>'4'!E26</f>
        <v>21040.85</v>
      </c>
    </row>
    <row r="16" spans="1:7" x14ac:dyDescent="0.2">
      <c r="A16" t="str">
        <f t="shared" si="0"/>
        <v>ГОСТ 2688-804,1</v>
      </c>
      <c r="B16" t="s">
        <v>174</v>
      </c>
      <c r="C16" s="116">
        <f>'4'!B27</f>
        <v>4.0999999999999996</v>
      </c>
      <c r="E16">
        <f>'4'!D27</f>
        <v>19353.16</v>
      </c>
      <c r="F16">
        <f>'4'!E27</f>
        <v>23013.39</v>
      </c>
    </row>
    <row r="17" spans="1:6" x14ac:dyDescent="0.2">
      <c r="A17" t="str">
        <f t="shared" si="0"/>
        <v>ГОСТ 2688-804,5</v>
      </c>
      <c r="B17" t="s">
        <v>174</v>
      </c>
      <c r="C17" s="116">
        <f>'4'!B28</f>
        <v>4.5</v>
      </c>
      <c r="E17">
        <f>'4'!D28</f>
        <v>20711.82</v>
      </c>
      <c r="F17">
        <f>'4'!E28</f>
        <v>25017.99</v>
      </c>
    </row>
    <row r="18" spans="1:6" x14ac:dyDescent="0.2">
      <c r="A18" t="str">
        <f t="shared" si="0"/>
        <v>ГОСТ 2688-804,8</v>
      </c>
      <c r="B18" t="s">
        <v>174</v>
      </c>
      <c r="C18" s="116">
        <f>'4'!B29</f>
        <v>4.8</v>
      </c>
      <c r="E18">
        <f>'4'!D29</f>
        <v>21854.14</v>
      </c>
      <c r="F18">
        <f>'4'!E29</f>
        <v>26808.1</v>
      </c>
    </row>
    <row r="19" spans="1:6" x14ac:dyDescent="0.2">
      <c r="A19" t="str">
        <f t="shared" si="0"/>
        <v>ГОСТ 2688-805,1</v>
      </c>
      <c r="B19" t="s">
        <v>174</v>
      </c>
      <c r="C19" s="116">
        <f>'4'!B30</f>
        <v>5.0999999999999996</v>
      </c>
      <c r="E19">
        <f>'4'!D30</f>
        <v>22960.47</v>
      </c>
      <c r="F19">
        <f>'4'!E30</f>
        <v>28170.02</v>
      </c>
    </row>
    <row r="20" spans="1:6" x14ac:dyDescent="0.2">
      <c r="A20" t="str">
        <f t="shared" si="0"/>
        <v>ГОСТ 2688-805,6</v>
      </c>
      <c r="B20" t="s">
        <v>174</v>
      </c>
      <c r="C20" s="116">
        <f>'4'!B31</f>
        <v>5.6</v>
      </c>
      <c r="E20">
        <f>'4'!D31</f>
        <v>26714.27</v>
      </c>
      <c r="F20">
        <f>'4'!E31</f>
        <v>29567.21</v>
      </c>
    </row>
    <row r="21" spans="1:6" x14ac:dyDescent="0.2">
      <c r="A21" t="str">
        <f t="shared" si="0"/>
        <v>ГОСТ 2688-806,2</v>
      </c>
      <c r="B21" t="s">
        <v>174</v>
      </c>
      <c r="C21" s="116">
        <f>'4'!B32</f>
        <v>6.2</v>
      </c>
      <c r="E21">
        <f>'4'!D32</f>
        <v>28454.27</v>
      </c>
      <c r="F21">
        <f>'4'!E32</f>
        <v>33448.11</v>
      </c>
    </row>
    <row r="22" spans="1:6" x14ac:dyDescent="0.2">
      <c r="A22" t="str">
        <f t="shared" si="0"/>
        <v>ГОСТ 2688-806,9</v>
      </c>
      <c r="B22" t="s">
        <v>174</v>
      </c>
      <c r="C22" s="116">
        <f>'4'!B33</f>
        <v>6.9</v>
      </c>
      <c r="E22">
        <f>'4'!D33</f>
        <v>31513.08</v>
      </c>
      <c r="F22">
        <f>'4'!E33</f>
        <v>37481.25</v>
      </c>
    </row>
    <row r="23" spans="1:6" x14ac:dyDescent="0.2">
      <c r="A23" t="str">
        <f t="shared" si="0"/>
        <v>ГОСТ 2688-807,6</v>
      </c>
      <c r="B23" t="s">
        <v>174</v>
      </c>
      <c r="C23" s="116">
        <f>'4'!B34</f>
        <v>7.6</v>
      </c>
      <c r="E23">
        <f>'4'!D34</f>
        <v>35576.06</v>
      </c>
      <c r="F23">
        <f>'4'!E34</f>
        <v>42310.720000000001</v>
      </c>
    </row>
    <row r="24" spans="1:6" x14ac:dyDescent="0.2">
      <c r="A24" t="str">
        <f t="shared" si="0"/>
        <v>ГОСТ 2688-808,3</v>
      </c>
      <c r="B24" t="s">
        <v>174</v>
      </c>
      <c r="C24" s="116">
        <f>'4'!B35</f>
        <v>8.3000000000000007</v>
      </c>
      <c r="E24">
        <f>'4'!D35</f>
        <v>40610.03</v>
      </c>
      <c r="F24">
        <f>'4'!E35</f>
        <v>48260.04</v>
      </c>
    </row>
    <row r="25" spans="1:6" x14ac:dyDescent="0.2">
      <c r="A25" t="str">
        <f t="shared" si="0"/>
        <v>ГОСТ 2688-809,1</v>
      </c>
      <c r="B25" t="s">
        <v>174</v>
      </c>
      <c r="C25" s="116">
        <f>'4'!B36</f>
        <v>9.1</v>
      </c>
      <c r="E25">
        <f>'4'!D36</f>
        <v>45643.97</v>
      </c>
      <c r="F25">
        <f>'4'!E36</f>
        <v>54282.06</v>
      </c>
    </row>
    <row r="26" spans="1:6" x14ac:dyDescent="0.2">
      <c r="A26" t="str">
        <f t="shared" si="0"/>
        <v>ГОСТ 2688-809,6</v>
      </c>
      <c r="B26" t="s">
        <v>174</v>
      </c>
      <c r="C26" s="116">
        <f>'4'!B37</f>
        <v>9.6</v>
      </c>
      <c r="E26">
        <f>'4'!D37</f>
        <v>49093.01</v>
      </c>
      <c r="F26">
        <f>'4'!E37</f>
        <v>60060.22</v>
      </c>
    </row>
    <row r="27" spans="1:6" x14ac:dyDescent="0.2">
      <c r="A27" t="str">
        <f t="shared" si="0"/>
        <v>ГОСТ 2688-8011</v>
      </c>
      <c r="B27" t="s">
        <v>174</v>
      </c>
      <c r="C27" s="116">
        <f>'4'!B38</f>
        <v>11</v>
      </c>
      <c r="E27">
        <f>'4'!D38</f>
        <v>60141.09</v>
      </c>
      <c r="F27">
        <f>'4'!E38</f>
        <v>75685.539999999994</v>
      </c>
    </row>
    <row r="28" spans="1:6" x14ac:dyDescent="0.2">
      <c r="A28" t="str">
        <f t="shared" si="0"/>
        <v>ГОСТ 2688-8012</v>
      </c>
      <c r="B28" t="s">
        <v>174</v>
      </c>
      <c r="C28" s="116">
        <f>'4'!B39</f>
        <v>12</v>
      </c>
      <c r="E28">
        <f>'4'!D39</f>
        <v>68025.570000000007</v>
      </c>
      <c r="F28">
        <f>'4'!E39</f>
        <v>85612.15</v>
      </c>
    </row>
    <row r="29" spans="1:6" x14ac:dyDescent="0.2">
      <c r="A29" t="str">
        <f t="shared" si="0"/>
        <v>ГОСТ 2688-8013</v>
      </c>
      <c r="B29" t="s">
        <v>174</v>
      </c>
      <c r="C29" s="116">
        <f>'4'!B40</f>
        <v>13</v>
      </c>
      <c r="E29">
        <f>'4'!D40</f>
        <v>73818.58</v>
      </c>
      <c r="F29">
        <f>'4'!E40</f>
        <v>92834.7</v>
      </c>
    </row>
    <row r="30" spans="1:6" x14ac:dyDescent="0.2">
      <c r="A30" t="str">
        <f t="shared" si="0"/>
        <v>ГОСТ 2688-8014</v>
      </c>
      <c r="B30" t="s">
        <v>174</v>
      </c>
      <c r="C30" s="116">
        <f>'4'!B41</f>
        <v>14</v>
      </c>
      <c r="E30">
        <f>'4'!D41</f>
        <v>87264.19</v>
      </c>
      <c r="F30">
        <f>'4'!E41</f>
        <v>109785.54</v>
      </c>
    </row>
    <row r="31" spans="1:6" x14ac:dyDescent="0.2">
      <c r="A31" t="str">
        <f t="shared" si="0"/>
        <v>ГОСТ 2688-8015</v>
      </c>
      <c r="B31" t="s">
        <v>174</v>
      </c>
      <c r="C31" s="116">
        <f>'4'!B42</f>
        <v>15</v>
      </c>
      <c r="E31">
        <f>'4'!D42</f>
        <v>97439.14</v>
      </c>
      <c r="F31">
        <f>'4'!E42</f>
        <v>122544.88</v>
      </c>
    </row>
    <row r="32" spans="1:6" x14ac:dyDescent="0.2">
      <c r="A32" t="str">
        <f t="shared" si="0"/>
        <v>ГОСТ 2688-8016,5</v>
      </c>
      <c r="B32" t="s">
        <v>174</v>
      </c>
      <c r="C32" s="116">
        <f>'4'!B43</f>
        <v>16.5</v>
      </c>
      <c r="E32">
        <f>'4'!D43</f>
        <v>115244.04</v>
      </c>
      <c r="F32">
        <f>'4'!E43</f>
        <v>145054.21</v>
      </c>
    </row>
    <row r="33" spans="1:6" x14ac:dyDescent="0.2">
      <c r="A33" t="str">
        <f t="shared" si="0"/>
        <v>ГОСТ 2688-8018</v>
      </c>
      <c r="B33" t="s">
        <v>174</v>
      </c>
      <c r="C33" s="116">
        <f>'4'!B44</f>
        <v>18</v>
      </c>
      <c r="E33">
        <f>'4'!D44</f>
        <v>136173.59</v>
      </c>
      <c r="F33">
        <f>'4'!E44</f>
        <v>171266.33</v>
      </c>
    </row>
    <row r="34" spans="1:6" x14ac:dyDescent="0.2">
      <c r="A34" t="str">
        <f t="shared" si="0"/>
        <v>ГОСТ 2688-8019,5</v>
      </c>
      <c r="B34" t="s">
        <v>174</v>
      </c>
      <c r="C34" s="116">
        <f>'4'!B45</f>
        <v>19.5</v>
      </c>
      <c r="E34">
        <f>'4'!D45</f>
        <v>154413.78</v>
      </c>
      <c r="F34">
        <f>'4'!E45</f>
        <v>194258.76</v>
      </c>
    </row>
    <row r="35" spans="1:6" x14ac:dyDescent="0.2">
      <c r="A35" t="str">
        <f t="shared" si="0"/>
        <v>ГОСТ 2688-8021</v>
      </c>
      <c r="B35" t="s">
        <v>174</v>
      </c>
      <c r="C35" s="116">
        <f>'4'!B46</f>
        <v>21</v>
      </c>
      <c r="E35">
        <f>'4'!D46</f>
        <v>176454.9</v>
      </c>
      <c r="F35">
        <f>'4'!E46</f>
        <v>222103.66</v>
      </c>
    </row>
    <row r="36" spans="1:6" x14ac:dyDescent="0.2">
      <c r="A36" t="str">
        <f t="shared" si="0"/>
        <v>ГОСТ 2688-8022,5</v>
      </c>
      <c r="B36" t="s">
        <v>174</v>
      </c>
      <c r="C36" s="116">
        <f>'4'!B47</f>
        <v>22.5</v>
      </c>
      <c r="E36">
        <f>'4'!D47</f>
        <v>198669.81</v>
      </c>
      <c r="F36">
        <f>'4'!E47</f>
        <v>250036.39</v>
      </c>
    </row>
    <row r="37" spans="1:6" x14ac:dyDescent="0.2">
      <c r="A37" t="str">
        <f t="shared" si="0"/>
        <v>ГОСТ 2688-8024</v>
      </c>
      <c r="B37" t="s">
        <v>174</v>
      </c>
      <c r="C37" s="116">
        <f>'4'!B48</f>
        <v>24</v>
      </c>
      <c r="E37">
        <f>'4'!D48</f>
        <v>224123.29</v>
      </c>
      <c r="F37">
        <f>'4'!E48</f>
        <v>281953.31</v>
      </c>
    </row>
    <row r="38" spans="1:6" x14ac:dyDescent="0.2">
      <c r="A38" t="str">
        <f t="shared" si="0"/>
        <v>ГОСТ 2688-8025,5</v>
      </c>
      <c r="B38" t="s">
        <v>174</v>
      </c>
      <c r="C38" s="116">
        <f>'4'!B49</f>
        <v>25.5</v>
      </c>
      <c r="E38">
        <f>'4'!D49</f>
        <v>251046.91</v>
      </c>
      <c r="F38">
        <f>'4'!E49</f>
        <v>315844.01</v>
      </c>
    </row>
    <row r="39" spans="1:6" x14ac:dyDescent="0.2">
      <c r="A39" t="str">
        <f t="shared" si="0"/>
        <v>ГОСТ 2688-8027</v>
      </c>
      <c r="B39" t="s">
        <v>174</v>
      </c>
      <c r="C39" s="116">
        <f>'4'!B50</f>
        <v>27</v>
      </c>
      <c r="E39">
        <f>'4'!D50</f>
        <v>279166.3</v>
      </c>
      <c r="F39">
        <f>'4'!E50</f>
        <v>351262.69</v>
      </c>
    </row>
    <row r="40" spans="1:6" x14ac:dyDescent="0.2">
      <c r="A40" t="str">
        <f t="shared" si="0"/>
        <v>ГОСТ 2688-8028</v>
      </c>
      <c r="B40" t="s">
        <v>174</v>
      </c>
      <c r="C40" s="116">
        <f>'4'!B51</f>
        <v>28</v>
      </c>
      <c r="E40">
        <f>'4'!D51</f>
        <v>300934.34999999998</v>
      </c>
      <c r="F40">
        <f>'4'!E51</f>
        <v>378776.33</v>
      </c>
    </row>
    <row r="41" spans="1:6" x14ac:dyDescent="0.2">
      <c r="A41" t="str">
        <f t="shared" si="0"/>
        <v>ГОСТ 2688-8030,5</v>
      </c>
      <c r="B41" t="s">
        <v>174</v>
      </c>
      <c r="C41" s="116">
        <f>'4'!B52</f>
        <v>30.5</v>
      </c>
      <c r="E41">
        <f>'4'!D52</f>
        <v>348595.84</v>
      </c>
      <c r="F41">
        <f>'4'!E52</f>
        <v>451853.74</v>
      </c>
    </row>
    <row r="42" spans="1:6" x14ac:dyDescent="0.2">
      <c r="A42" t="str">
        <f t="shared" si="0"/>
        <v>ГОСТ 2688-8032</v>
      </c>
      <c r="B42" t="s">
        <v>174</v>
      </c>
      <c r="C42" s="116">
        <f>'4'!B53</f>
        <v>32</v>
      </c>
      <c r="E42">
        <f>'4'!D53</f>
        <v>379941.14</v>
      </c>
      <c r="F42">
        <f>'4'!E53</f>
        <v>492343.11</v>
      </c>
    </row>
    <row r="43" spans="1:6" x14ac:dyDescent="0.2">
      <c r="A43" t="str">
        <f t="shared" si="0"/>
        <v>ГОСТ 2688-8033,5</v>
      </c>
      <c r="B43" t="s">
        <v>174</v>
      </c>
      <c r="C43" s="116">
        <f>'4'!B54</f>
        <v>33.5</v>
      </c>
      <c r="E43">
        <f>'4'!D54</f>
        <v>414641.05</v>
      </c>
      <c r="F43">
        <f>'4'!E54</f>
        <v>537261.17000000004</v>
      </c>
    </row>
    <row r="44" spans="1:6" x14ac:dyDescent="0.2">
      <c r="A44" t="str">
        <f t="shared" si="0"/>
        <v>ГОСТ 2688-8037</v>
      </c>
      <c r="B44" t="s">
        <v>174</v>
      </c>
      <c r="C44" s="116">
        <f>'4'!B55</f>
        <v>37</v>
      </c>
      <c r="E44">
        <f>'4'!D55</f>
        <v>492709.83</v>
      </c>
      <c r="F44">
        <f>'4'!E55</f>
        <v>638449.06999999995</v>
      </c>
    </row>
    <row r="45" spans="1:6" x14ac:dyDescent="0.2">
      <c r="A45" t="str">
        <f t="shared" si="0"/>
        <v>ГОСТ 2688-8039,5</v>
      </c>
      <c r="B45" t="s">
        <v>174</v>
      </c>
      <c r="C45" s="116">
        <f>'4'!B56</f>
        <v>39.5</v>
      </c>
      <c r="E45">
        <f>'4'!D56</f>
        <v>576306.29</v>
      </c>
      <c r="F45">
        <f>'4'!E56</f>
        <v>746631.73</v>
      </c>
    </row>
    <row r="46" spans="1:6" x14ac:dyDescent="0.2">
      <c r="A46" t="str">
        <f t="shared" si="0"/>
        <v>ГОСТ 2688-8042</v>
      </c>
      <c r="B46" t="s">
        <v>174</v>
      </c>
      <c r="C46" s="116">
        <f>'4'!B57</f>
        <v>42</v>
      </c>
      <c r="E46">
        <f>'4'!D57</f>
        <v>635953.56000000006</v>
      </c>
      <c r="F46">
        <f>'4'!E57</f>
        <v>824162.07</v>
      </c>
    </row>
    <row r="47" spans="1:6" x14ac:dyDescent="0.2">
      <c r="A47" t="str">
        <f t="shared" si="0"/>
        <v>ГОСТ 2688-8044,5</v>
      </c>
      <c r="B47" t="s">
        <v>174</v>
      </c>
      <c r="C47" s="116">
        <f>'4'!B58</f>
        <v>44.5</v>
      </c>
      <c r="E47">
        <f>'4'!D58</f>
        <v>737750.19</v>
      </c>
      <c r="F47">
        <f>'4'!E58</f>
        <v>956203.78</v>
      </c>
    </row>
    <row r="48" spans="1:6" x14ac:dyDescent="0.2">
      <c r="A48" t="str">
        <f t="shared" si="0"/>
        <v>ГОСТ 2688-8047,5</v>
      </c>
      <c r="B48" t="s">
        <v>174</v>
      </c>
      <c r="C48" s="116">
        <f>'4'!B59</f>
        <v>47.5</v>
      </c>
      <c r="E48">
        <f>'4'!D59</f>
        <v>815405.96</v>
      </c>
      <c r="F48">
        <f>'4'!E59</f>
        <v>1057093.1200000001</v>
      </c>
    </row>
    <row r="49" spans="1:6" x14ac:dyDescent="0.2">
      <c r="A49" t="str">
        <f t="shared" si="0"/>
        <v>ГОСТ 2688-8051</v>
      </c>
      <c r="B49" t="s">
        <v>174</v>
      </c>
      <c r="C49" s="116">
        <f>'4'!B60</f>
        <v>51</v>
      </c>
      <c r="E49">
        <f>'4'!D60</f>
        <v>917014.41</v>
      </c>
      <c r="F49">
        <f>'4'!E60</f>
        <v>1188449.3</v>
      </c>
    </row>
    <row r="50" spans="1:6" x14ac:dyDescent="0.2">
      <c r="A50" t="str">
        <f t="shared" si="0"/>
        <v>ГОСТ 2688-8056</v>
      </c>
      <c r="B50" t="s">
        <v>174</v>
      </c>
      <c r="C50" s="116">
        <f>'4'!B61</f>
        <v>56</v>
      </c>
      <c r="E50">
        <f>'4'!D61</f>
        <v>1118662.98</v>
      </c>
      <c r="F50">
        <f>'4'!E61</f>
        <v>1449474.05</v>
      </c>
    </row>
    <row r="51" spans="1:6" x14ac:dyDescent="0.2">
      <c r="A51" t="str">
        <f t="shared" si="0"/>
        <v>ГОСТ 3062-800,65</v>
      </c>
      <c r="B51" t="s">
        <v>54</v>
      </c>
      <c r="C51" s="115">
        <f>'5'!B6</f>
        <v>0.65</v>
      </c>
      <c r="E51">
        <f>'5'!D6</f>
        <v>2131.69</v>
      </c>
      <c r="F51">
        <f>'5'!E6</f>
        <v>2681.14</v>
      </c>
    </row>
    <row r="52" spans="1:6" x14ac:dyDescent="0.2">
      <c r="A52" t="str">
        <f t="shared" si="0"/>
        <v>ГОСТ 3062-800,75</v>
      </c>
      <c r="B52" t="s">
        <v>54</v>
      </c>
      <c r="C52" s="115">
        <f>'5'!B7</f>
        <v>0.75</v>
      </c>
      <c r="E52">
        <f>'5'!D7</f>
        <v>2181.6799999999998</v>
      </c>
      <c r="F52">
        <f>'5'!E7</f>
        <v>2743.94</v>
      </c>
    </row>
    <row r="53" spans="1:6" x14ac:dyDescent="0.2">
      <c r="A53" t="str">
        <f t="shared" si="0"/>
        <v>ГОСТ 3062-800,8</v>
      </c>
      <c r="B53" t="s">
        <v>54</v>
      </c>
      <c r="C53" s="115">
        <f>'5'!B8</f>
        <v>0.8</v>
      </c>
      <c r="E53">
        <f>'5'!D8</f>
        <v>2259.38</v>
      </c>
      <c r="F53">
        <f>'5'!E8</f>
        <v>2841.73</v>
      </c>
    </row>
    <row r="54" spans="1:6" x14ac:dyDescent="0.2">
      <c r="A54" t="str">
        <f t="shared" si="0"/>
        <v>ГОСТ 3062-800,85</v>
      </c>
      <c r="B54" t="s">
        <v>54</v>
      </c>
      <c r="C54" s="115">
        <f>'5'!B9</f>
        <v>0.85</v>
      </c>
      <c r="E54">
        <f>'5'!D9</f>
        <v>2353.73</v>
      </c>
      <c r="F54">
        <f>'5'!E9</f>
        <v>2960.42</v>
      </c>
    </row>
    <row r="55" spans="1:6" x14ac:dyDescent="0.2">
      <c r="A55" t="str">
        <f t="shared" si="0"/>
        <v>ГОСТ 3062-800,9</v>
      </c>
      <c r="B55" t="s">
        <v>54</v>
      </c>
      <c r="C55" s="115">
        <f>'5'!B10</f>
        <v>0.9</v>
      </c>
      <c r="E55">
        <f>'5'!D10</f>
        <v>2442.56</v>
      </c>
      <c r="F55">
        <f>'5'!E10</f>
        <v>3072.11</v>
      </c>
    </row>
    <row r="56" spans="1:6" x14ac:dyDescent="0.2">
      <c r="A56" t="str">
        <f t="shared" si="0"/>
        <v>ГОСТ 3062-801</v>
      </c>
      <c r="B56" t="s">
        <v>54</v>
      </c>
      <c r="C56" s="115">
        <f>'5'!B11</f>
        <v>1</v>
      </c>
      <c r="E56">
        <f>'5'!D11</f>
        <v>2611.2800000000002</v>
      </c>
      <c r="F56">
        <f>'5'!E11</f>
        <v>3282.36</v>
      </c>
    </row>
    <row r="57" spans="1:6" x14ac:dyDescent="0.2">
      <c r="A57" t="str">
        <f t="shared" si="0"/>
        <v>ГОСТ 3062-801,1</v>
      </c>
      <c r="B57" t="s">
        <v>54</v>
      </c>
      <c r="C57" s="115">
        <f>'5'!B12</f>
        <v>1.1000000000000001</v>
      </c>
      <c r="E57">
        <f>'5'!D12</f>
        <v>2640.51</v>
      </c>
      <c r="F57">
        <f>'5'!E12</f>
        <v>3017.23</v>
      </c>
    </row>
    <row r="58" spans="1:6" x14ac:dyDescent="0.2">
      <c r="A58" t="str">
        <f t="shared" si="0"/>
        <v>ГОСТ 3062-801,2</v>
      </c>
      <c r="B58" t="s">
        <v>54</v>
      </c>
      <c r="C58" s="115">
        <f>'5'!B13</f>
        <v>1.2</v>
      </c>
      <c r="E58">
        <f>'5'!D13</f>
        <v>2797.02</v>
      </c>
      <c r="F58">
        <f>'5'!E13</f>
        <v>3196.06</v>
      </c>
    </row>
    <row r="59" spans="1:6" x14ac:dyDescent="0.2">
      <c r="A59" t="str">
        <f t="shared" si="0"/>
        <v>ГОСТ 3062-801,4</v>
      </c>
      <c r="B59" t="s">
        <v>54</v>
      </c>
      <c r="C59" s="115">
        <f>'5'!B14</f>
        <v>1.4</v>
      </c>
      <c r="E59">
        <f>'5'!D14</f>
        <v>2922.53</v>
      </c>
      <c r="F59">
        <f>'5'!E14</f>
        <v>3339.63</v>
      </c>
    </row>
    <row r="60" spans="1:6" x14ac:dyDescent="0.2">
      <c r="A60" t="str">
        <f t="shared" si="0"/>
        <v>ГОСТ 3062-801,6</v>
      </c>
      <c r="B60" t="s">
        <v>54</v>
      </c>
      <c r="C60" s="115">
        <f>'5'!B15</f>
        <v>1.6</v>
      </c>
      <c r="E60">
        <f>'5'!D15</f>
        <v>3261.34</v>
      </c>
      <c r="F60">
        <f>'5'!E15</f>
        <v>3726.67</v>
      </c>
    </row>
    <row r="61" spans="1:6" x14ac:dyDescent="0.2">
      <c r="A61" t="str">
        <f t="shared" si="0"/>
        <v>ГОСТ 3062-801,8</v>
      </c>
      <c r="B61" t="s">
        <v>54</v>
      </c>
      <c r="C61" s="115">
        <f>'5'!B16</f>
        <v>1.8</v>
      </c>
      <c r="E61">
        <f>'5'!D16</f>
        <v>3806.82</v>
      </c>
      <c r="F61">
        <f>'5'!E16</f>
        <v>4350.01</v>
      </c>
    </row>
    <row r="62" spans="1:6" x14ac:dyDescent="0.2">
      <c r="A62" t="str">
        <f t="shared" si="0"/>
        <v>ГОСТ 3062-802</v>
      </c>
      <c r="B62" t="s">
        <v>54</v>
      </c>
      <c r="C62" s="115">
        <f>'5'!B17</f>
        <v>2</v>
      </c>
      <c r="E62">
        <f>'5'!D17</f>
        <v>4110.33</v>
      </c>
      <c r="F62">
        <f>'5'!E17</f>
        <v>4699.2</v>
      </c>
    </row>
    <row r="63" spans="1:6" x14ac:dyDescent="0.2">
      <c r="A63" t="str">
        <f t="shared" si="0"/>
        <v>ГОСТ 3062-802,2</v>
      </c>
      <c r="B63" t="s">
        <v>54</v>
      </c>
      <c r="C63" s="115">
        <f>'5'!B18</f>
        <v>2.2000000000000002</v>
      </c>
      <c r="E63">
        <f>'5'!D18</f>
        <v>4682.74</v>
      </c>
      <c r="F63">
        <f>'5'!E18</f>
        <v>5350.92</v>
      </c>
    </row>
    <row r="64" spans="1:6" x14ac:dyDescent="0.2">
      <c r="A64" t="str">
        <f t="shared" si="0"/>
        <v>ГОСТ 3062-802,4</v>
      </c>
      <c r="B64" t="s">
        <v>54</v>
      </c>
      <c r="C64" s="115">
        <f>'5'!B19</f>
        <v>2.4</v>
      </c>
      <c r="E64">
        <f>'5'!D19</f>
        <v>5024.24</v>
      </c>
      <c r="F64">
        <f>'5'!E19</f>
        <v>6173.33</v>
      </c>
    </row>
    <row r="65" spans="1:6" x14ac:dyDescent="0.2">
      <c r="A65" t="str">
        <f t="shared" si="0"/>
        <v>ГОСТ 3062-802,8</v>
      </c>
      <c r="B65" t="s">
        <v>54</v>
      </c>
      <c r="C65" s="115">
        <f>'5'!B20</f>
        <v>2.8</v>
      </c>
      <c r="E65">
        <f>'5'!D20</f>
        <v>5503.72</v>
      </c>
      <c r="F65">
        <f>'5'!E20</f>
        <v>6766.64</v>
      </c>
    </row>
    <row r="66" spans="1:6" x14ac:dyDescent="0.2">
      <c r="A66" t="str">
        <f t="shared" si="0"/>
        <v>ГОСТ 3062-803,1</v>
      </c>
      <c r="B66" t="s">
        <v>54</v>
      </c>
      <c r="C66" s="115">
        <f>'5'!B21</f>
        <v>3.1</v>
      </c>
      <c r="E66">
        <f>'5'!D21</f>
        <v>6065.47</v>
      </c>
      <c r="F66">
        <f>'5'!E21</f>
        <v>7628.77</v>
      </c>
    </row>
    <row r="67" spans="1:6" x14ac:dyDescent="0.2">
      <c r="A67" t="str">
        <f t="shared" ref="A67:A130" si="1">B67&amp;C67</f>
        <v>ГОСТ 3062-803,4</v>
      </c>
      <c r="B67" t="s">
        <v>54</v>
      </c>
      <c r="C67" s="115">
        <f>'5'!B22</f>
        <v>3.4</v>
      </c>
      <c r="E67">
        <f>'5'!D22</f>
        <v>7122.48</v>
      </c>
      <c r="F67">
        <f>'5'!E22</f>
        <v>8958.26</v>
      </c>
    </row>
    <row r="68" spans="1:6" x14ac:dyDescent="0.2">
      <c r="A68" t="str">
        <f t="shared" si="1"/>
        <v>ГОСТ 3062-803,7</v>
      </c>
      <c r="B68" t="s">
        <v>54</v>
      </c>
      <c r="C68" s="115">
        <f>'5'!B23</f>
        <v>3.7</v>
      </c>
      <c r="E68">
        <f>'5'!D23</f>
        <v>7872.49</v>
      </c>
      <c r="F68">
        <f>'5'!E23</f>
        <v>9901.6200000000008</v>
      </c>
    </row>
    <row r="69" spans="1:6" x14ac:dyDescent="0.2">
      <c r="A69" t="str">
        <f t="shared" si="1"/>
        <v>ГОСТ 3062-804</v>
      </c>
      <c r="B69" t="s">
        <v>54</v>
      </c>
      <c r="C69" s="115">
        <f>'5'!B24</f>
        <v>4</v>
      </c>
      <c r="E69">
        <f>'5'!D24</f>
        <v>9100.7099999999991</v>
      </c>
      <c r="F69">
        <f>'5'!E24</f>
        <v>11446.38</v>
      </c>
    </row>
    <row r="70" spans="1:6" x14ac:dyDescent="0.2">
      <c r="A70" t="str">
        <f t="shared" si="1"/>
        <v>ГОСТ 3062-804,3</v>
      </c>
      <c r="B70" t="s">
        <v>54</v>
      </c>
      <c r="C70" s="115">
        <f>'5'!B25</f>
        <v>4.3</v>
      </c>
      <c r="E70">
        <f>'5'!D25</f>
        <v>10288.629999999999</v>
      </c>
      <c r="F70">
        <f>'5'!E25</f>
        <v>12940.43</v>
      </c>
    </row>
    <row r="71" spans="1:6" x14ac:dyDescent="0.2">
      <c r="A71" t="str">
        <f t="shared" si="1"/>
        <v>ГОСТ 3062-804,6</v>
      </c>
      <c r="B71" t="s">
        <v>54</v>
      </c>
      <c r="C71" s="115">
        <f>'5'!B26</f>
        <v>4.5999999999999996</v>
      </c>
      <c r="E71">
        <f>'5'!D26</f>
        <v>11340.65</v>
      </c>
      <c r="F71">
        <f>'5'!E26</f>
        <v>14263.6</v>
      </c>
    </row>
    <row r="72" spans="1:6" x14ac:dyDescent="0.2">
      <c r="A72" t="str">
        <f t="shared" si="1"/>
        <v>ГОСТ 3062-804,9</v>
      </c>
      <c r="B72" t="s">
        <v>54</v>
      </c>
      <c r="C72" s="115">
        <f>'5'!B27</f>
        <v>4.9000000000000004</v>
      </c>
      <c r="E72">
        <f>'5'!D27</f>
        <v>12885.96</v>
      </c>
      <c r="F72">
        <f>'5'!E27</f>
        <v>16207.25</v>
      </c>
    </row>
    <row r="73" spans="1:6" x14ac:dyDescent="0.2">
      <c r="A73" t="str">
        <f t="shared" si="1"/>
        <v>ГОСТ 3062-805,2</v>
      </c>
      <c r="B73" t="s">
        <v>54</v>
      </c>
      <c r="C73" s="115">
        <f>'5'!B28</f>
        <v>5.2</v>
      </c>
      <c r="E73">
        <f>'5'!D28</f>
        <v>14506.72</v>
      </c>
      <c r="F73">
        <f>'5'!E28</f>
        <v>18245.830000000002</v>
      </c>
    </row>
    <row r="74" spans="1:6" x14ac:dyDescent="0.2">
      <c r="A74" t="str">
        <f t="shared" si="1"/>
        <v>ГОСТ 3062-805,5</v>
      </c>
      <c r="B74" t="s">
        <v>54</v>
      </c>
      <c r="C74" s="115">
        <f>'5'!B29</f>
        <v>5.5</v>
      </c>
      <c r="E74">
        <f>'5'!D29</f>
        <v>16172.87</v>
      </c>
      <c r="F74">
        <f>'5'!E29</f>
        <v>20341.36</v>
      </c>
    </row>
    <row r="75" spans="1:6" x14ac:dyDescent="0.2">
      <c r="A75" t="str">
        <f t="shared" si="1"/>
        <v>ГОСТ 3062-806,2</v>
      </c>
      <c r="B75" t="s">
        <v>54</v>
      </c>
      <c r="C75" s="115">
        <f>'5'!B30</f>
        <v>6.2</v>
      </c>
      <c r="E75">
        <f>'5'!D30</f>
        <v>20092.79</v>
      </c>
      <c r="F75">
        <f>'5'!E30</f>
        <v>25270.33</v>
      </c>
    </row>
    <row r="76" spans="1:6" x14ac:dyDescent="0.2">
      <c r="A76" t="str">
        <f t="shared" si="1"/>
        <v>ГОСТ 3062-806,8</v>
      </c>
      <c r="B76" t="s">
        <v>54</v>
      </c>
      <c r="C76" s="115">
        <f>'5'!B31</f>
        <v>6.8</v>
      </c>
      <c r="E76">
        <f>'5'!D31</f>
        <v>24201.4</v>
      </c>
      <c r="F76">
        <f>'5'!E31</f>
        <v>30439.18</v>
      </c>
    </row>
    <row r="77" spans="1:6" x14ac:dyDescent="0.2">
      <c r="A77" t="str">
        <f t="shared" si="1"/>
        <v>ГОСТ 3062-807,4</v>
      </c>
      <c r="B77" t="s">
        <v>54</v>
      </c>
      <c r="C77" s="115">
        <f>'5'!B32</f>
        <v>7.4</v>
      </c>
      <c r="E77">
        <f>'5'!D32</f>
        <v>28484.95</v>
      </c>
      <c r="F77">
        <f>'5'!E32</f>
        <v>35826.870000000003</v>
      </c>
    </row>
    <row r="78" spans="1:6" x14ac:dyDescent="0.2">
      <c r="A78" t="str">
        <f t="shared" si="1"/>
        <v>ГОСТ 3062-808</v>
      </c>
      <c r="B78" t="s">
        <v>54</v>
      </c>
      <c r="C78" s="115">
        <f>'5'!B33</f>
        <v>8</v>
      </c>
      <c r="E78">
        <f>'5'!D33</f>
        <v>33166.18</v>
      </c>
      <c r="F78">
        <f>'5'!E33</f>
        <v>41714.67</v>
      </c>
    </row>
    <row r="79" spans="1:6" x14ac:dyDescent="0.2">
      <c r="A79" t="str">
        <f t="shared" si="1"/>
        <v>ГОСТ 3062-808,6</v>
      </c>
      <c r="B79" t="s">
        <v>54</v>
      </c>
      <c r="C79" s="115">
        <f>'5'!B34</f>
        <v>8.6</v>
      </c>
      <c r="E79">
        <f>'5'!D34</f>
        <v>38048.769999999997</v>
      </c>
      <c r="F79">
        <f>'5'!E34</f>
        <v>47855.68</v>
      </c>
    </row>
    <row r="80" spans="1:6" x14ac:dyDescent="0.2">
      <c r="A80" t="str">
        <f t="shared" si="1"/>
        <v>ГОСТ 3062-809,2</v>
      </c>
      <c r="B80" t="s">
        <v>54</v>
      </c>
      <c r="C80" s="115">
        <f>'5'!B35</f>
        <v>9.1999999999999993</v>
      </c>
      <c r="E80">
        <f>'5'!D35</f>
        <v>43520.22</v>
      </c>
      <c r="F80">
        <f>'5'!E35</f>
        <v>54754.69</v>
      </c>
    </row>
    <row r="81" spans="1:6" x14ac:dyDescent="0.2">
      <c r="A81" t="str">
        <f t="shared" si="1"/>
        <v>ГОСТ 3062-809,8</v>
      </c>
      <c r="B81" t="s">
        <v>54</v>
      </c>
      <c r="C81" s="115">
        <f>'5'!B36</f>
        <v>9.8000000000000007</v>
      </c>
      <c r="E81">
        <f>'5'!D36</f>
        <v>48860.81</v>
      </c>
      <c r="F81">
        <f>'5'!E36</f>
        <v>61454.52</v>
      </c>
    </row>
    <row r="82" spans="1:6" x14ac:dyDescent="0.2">
      <c r="A82" t="str">
        <f t="shared" si="1"/>
        <v>ГОСТ 3062-8010,5</v>
      </c>
      <c r="B82" t="s">
        <v>54</v>
      </c>
      <c r="C82" s="115">
        <f>'5'!B37</f>
        <v>10.5</v>
      </c>
      <c r="E82">
        <f>'5'!D37</f>
        <v>54926.29</v>
      </c>
      <c r="F82">
        <f>'5'!E37</f>
        <v>69083.31</v>
      </c>
    </row>
    <row r="83" spans="1:6" x14ac:dyDescent="0.2">
      <c r="A83" t="str">
        <f t="shared" si="1"/>
        <v>ГОСТ 3062-8011,5</v>
      </c>
      <c r="B83" t="s">
        <v>54</v>
      </c>
      <c r="C83" s="115">
        <f>'5'!B38</f>
        <v>11.5</v>
      </c>
      <c r="E83">
        <f>'5'!D38</f>
        <v>68381.009999999995</v>
      </c>
      <c r="F83">
        <f>'5'!E38</f>
        <v>86005.94</v>
      </c>
    </row>
    <row r="84" spans="1:6" x14ac:dyDescent="0.2">
      <c r="A84" t="str">
        <f t="shared" si="1"/>
        <v>ГОСТ 3063-801</v>
      </c>
      <c r="B84" t="s">
        <v>175</v>
      </c>
      <c r="C84" s="116">
        <f>'6'!B6</f>
        <v>1</v>
      </c>
      <c r="E84">
        <f>'6'!D6</f>
        <v>3794.72</v>
      </c>
      <c r="F84">
        <f>'6'!E6</f>
        <v>4508.08</v>
      </c>
    </row>
    <row r="85" spans="1:6" x14ac:dyDescent="0.2">
      <c r="A85" t="str">
        <f t="shared" si="1"/>
        <v>ГОСТ 3063-801,1</v>
      </c>
      <c r="B85" t="s">
        <v>175</v>
      </c>
      <c r="C85" s="116">
        <f>'6'!B7</f>
        <v>1.1000000000000001</v>
      </c>
      <c r="E85">
        <f>'6'!D7</f>
        <v>4171.33</v>
      </c>
      <c r="F85">
        <f>'6'!E7</f>
        <v>4955.5200000000004</v>
      </c>
    </row>
    <row r="86" spans="1:6" x14ac:dyDescent="0.2">
      <c r="A86" t="str">
        <f t="shared" si="1"/>
        <v>ГОСТ 3063-801,2</v>
      </c>
      <c r="B86" t="s">
        <v>175</v>
      </c>
      <c r="C86" s="116">
        <f>'6'!B8</f>
        <v>1.2</v>
      </c>
      <c r="E86">
        <f>'6'!D8</f>
        <v>4316.16</v>
      </c>
      <c r="F86">
        <f>'6'!E8</f>
        <v>5127.57</v>
      </c>
    </row>
    <row r="87" spans="1:6" x14ac:dyDescent="0.2">
      <c r="A87" t="str">
        <f t="shared" si="1"/>
        <v>ГОСТ 3063-801,3</v>
      </c>
      <c r="B87" t="s">
        <v>175</v>
      </c>
      <c r="C87" s="116">
        <f>'6'!B9</f>
        <v>1.3</v>
      </c>
      <c r="E87">
        <f>'6'!D9</f>
        <v>4489.9399999999996</v>
      </c>
      <c r="F87">
        <f>'6'!E9</f>
        <v>5334.08</v>
      </c>
    </row>
    <row r="88" spans="1:6" x14ac:dyDescent="0.2">
      <c r="A88" t="str">
        <f t="shared" si="1"/>
        <v>ГОСТ 3063-801,4</v>
      </c>
      <c r="B88" t="s">
        <v>175</v>
      </c>
      <c r="C88" s="116">
        <f>'6'!B10</f>
        <v>1.4</v>
      </c>
      <c r="E88">
        <f>'6'!D10</f>
        <v>4605.79</v>
      </c>
      <c r="F88">
        <f>'6'!E10</f>
        <v>5471.7</v>
      </c>
    </row>
    <row r="89" spans="1:6" x14ac:dyDescent="0.2">
      <c r="A89" t="str">
        <f t="shared" si="1"/>
        <v>ГОСТ 3063-801,5</v>
      </c>
      <c r="B89" t="s">
        <v>175</v>
      </c>
      <c r="C89" s="116">
        <f>'6'!B11</f>
        <v>1.5</v>
      </c>
      <c r="E89">
        <f>'6'!D11</f>
        <v>5181.72</v>
      </c>
      <c r="F89">
        <f>'6'!E11</f>
        <v>6155.83</v>
      </c>
    </row>
    <row r="90" spans="1:6" x14ac:dyDescent="0.2">
      <c r="A90" t="str">
        <f t="shared" si="1"/>
        <v>ГОСТ 3063-801,7</v>
      </c>
      <c r="B90" t="s">
        <v>175</v>
      </c>
      <c r="C90" s="116">
        <f>'6'!B12</f>
        <v>1.7</v>
      </c>
      <c r="E90">
        <f>'6'!D12</f>
        <v>0</v>
      </c>
      <c r="F90">
        <f>'6'!E12</f>
        <v>6454.92</v>
      </c>
    </row>
    <row r="91" spans="1:6" x14ac:dyDescent="0.2">
      <c r="A91" t="str">
        <f t="shared" si="1"/>
        <v>ГОСТ 3063-801,8</v>
      </c>
      <c r="B91" t="s">
        <v>175</v>
      </c>
      <c r="C91" s="116">
        <f>'6'!B13</f>
        <v>1.8</v>
      </c>
      <c r="E91">
        <f>'6'!D13</f>
        <v>5737.92</v>
      </c>
      <c r="F91">
        <f>'6'!E13</f>
        <v>7225.71</v>
      </c>
    </row>
    <row r="92" spans="1:6" x14ac:dyDescent="0.2">
      <c r="A92" t="str">
        <f t="shared" si="1"/>
        <v>ГОСТ 3063-802</v>
      </c>
      <c r="B92" t="s">
        <v>175</v>
      </c>
      <c r="C92" s="116">
        <f>'6'!B14</f>
        <v>2</v>
      </c>
      <c r="E92">
        <f>'6'!D14</f>
        <v>6049.37</v>
      </c>
      <c r="F92">
        <f>'6'!E14</f>
        <v>7617.78</v>
      </c>
    </row>
    <row r="93" spans="1:6" x14ac:dyDescent="0.2">
      <c r="A93" t="str">
        <f t="shared" si="1"/>
        <v>ГОСТ 3063-802,6</v>
      </c>
      <c r="B93" t="s">
        <v>175</v>
      </c>
      <c r="C93" s="116">
        <f>'6'!B15</f>
        <v>2.6</v>
      </c>
      <c r="E93">
        <f>'6'!D15</f>
        <v>7562</v>
      </c>
      <c r="F93">
        <f>'6'!E15</f>
        <v>9522.69</v>
      </c>
    </row>
    <row r="94" spans="1:6" x14ac:dyDescent="0.2">
      <c r="A94" t="str">
        <f t="shared" si="1"/>
        <v>ГОСТ 3063-803</v>
      </c>
      <c r="B94" t="s">
        <v>175</v>
      </c>
      <c r="C94" s="116">
        <f>'6'!B16</f>
        <v>3</v>
      </c>
      <c r="E94">
        <f>'6'!D16</f>
        <v>8298.73</v>
      </c>
      <c r="F94">
        <f>'6'!E16</f>
        <v>10449.9</v>
      </c>
    </row>
    <row r="95" spans="1:6" x14ac:dyDescent="0.2">
      <c r="A95" t="str">
        <f t="shared" si="1"/>
        <v>ГОСТ 3063-803,3</v>
      </c>
      <c r="B95" t="s">
        <v>175</v>
      </c>
      <c r="C95" s="116">
        <f>'6'!B17</f>
        <v>3.3</v>
      </c>
      <c r="E95">
        <f>'6'!D17</f>
        <v>8567.06</v>
      </c>
      <c r="F95">
        <f>'6'!E17</f>
        <v>10788.22</v>
      </c>
    </row>
    <row r="96" spans="1:6" x14ac:dyDescent="0.2">
      <c r="A96" t="str">
        <f t="shared" si="1"/>
        <v>ГОСТ 3063-803,6</v>
      </c>
      <c r="B96" t="s">
        <v>175</v>
      </c>
      <c r="C96" s="116">
        <f>'6'!B18</f>
        <v>3.6</v>
      </c>
      <c r="E96">
        <f>'6'!D18</f>
        <v>9624.68</v>
      </c>
      <c r="F96">
        <f>'6'!E18</f>
        <v>12120.18</v>
      </c>
    </row>
    <row r="97" spans="1:6" x14ac:dyDescent="0.2">
      <c r="A97" t="str">
        <f t="shared" si="1"/>
        <v>ГОСТ 3063-804</v>
      </c>
      <c r="B97" t="s">
        <v>175</v>
      </c>
      <c r="C97" s="116">
        <f>'6'!B19</f>
        <v>4</v>
      </c>
      <c r="E97">
        <f>'6'!D19</f>
        <v>11284.18</v>
      </c>
      <c r="F97">
        <f>'6'!E19</f>
        <v>14209.85</v>
      </c>
    </row>
    <row r="98" spans="1:6" x14ac:dyDescent="0.2">
      <c r="A98" t="str">
        <f t="shared" si="1"/>
        <v>ГОСТ 3063-804,6</v>
      </c>
      <c r="B98" t="s">
        <v>175</v>
      </c>
      <c r="C98" s="116">
        <f>'6'!B20</f>
        <v>4.5999999999999996</v>
      </c>
      <c r="E98">
        <f>'6'!D20</f>
        <v>14116.63</v>
      </c>
      <c r="F98">
        <f>'6'!E20</f>
        <v>17775.86</v>
      </c>
    </row>
    <row r="99" spans="1:6" x14ac:dyDescent="0.2">
      <c r="A99" t="str">
        <f t="shared" si="1"/>
        <v>ГОСТ 3063-805</v>
      </c>
      <c r="B99" t="s">
        <v>175</v>
      </c>
      <c r="C99" s="116">
        <f>'6'!B21</f>
        <v>5</v>
      </c>
      <c r="E99">
        <f>'6'!D21</f>
        <v>17423.88</v>
      </c>
      <c r="F99">
        <f>'6'!E21</f>
        <v>21942.28</v>
      </c>
    </row>
    <row r="100" spans="1:6" x14ac:dyDescent="0.2">
      <c r="A100" t="str">
        <f t="shared" si="1"/>
        <v>ГОСТ 3063-805,6</v>
      </c>
      <c r="B100" t="s">
        <v>175</v>
      </c>
      <c r="C100" s="116">
        <f>'6'!B22</f>
        <v>5.6</v>
      </c>
      <c r="E100">
        <f>'6'!D22</f>
        <v>19705.25</v>
      </c>
      <c r="F100">
        <f>'6'!E22</f>
        <v>24814.43</v>
      </c>
    </row>
    <row r="101" spans="1:6" x14ac:dyDescent="0.2">
      <c r="A101" t="str">
        <f t="shared" si="1"/>
        <v>ГОСТ 3063-806,1</v>
      </c>
      <c r="B101" t="s">
        <v>175</v>
      </c>
      <c r="C101" s="116">
        <f>'6'!B23</f>
        <v>6.1</v>
      </c>
      <c r="E101">
        <f>'6'!D23</f>
        <v>22409.31</v>
      </c>
      <c r="F101">
        <f>'6'!E23</f>
        <v>27397.61</v>
      </c>
    </row>
    <row r="102" spans="1:6" x14ac:dyDescent="0.2">
      <c r="A102" t="str">
        <f t="shared" si="1"/>
        <v>ГОСТ 3063-806,6</v>
      </c>
      <c r="B102" t="s">
        <v>175</v>
      </c>
      <c r="C102" s="116">
        <f>'6'!B24</f>
        <v>6.6</v>
      </c>
      <c r="E102">
        <f>'6'!D24</f>
        <v>24497.1</v>
      </c>
      <c r="F102">
        <f>'6'!E24</f>
        <v>29950.05</v>
      </c>
    </row>
    <row r="103" spans="1:6" x14ac:dyDescent="0.2">
      <c r="A103" t="str">
        <f t="shared" si="1"/>
        <v>ГОСТ 3063-807,1</v>
      </c>
      <c r="B103" t="s">
        <v>175</v>
      </c>
      <c r="C103" s="116">
        <f>'6'!B25</f>
        <v>7.1</v>
      </c>
      <c r="E103">
        <f>'6'!D25</f>
        <v>28127.41</v>
      </c>
      <c r="F103">
        <f>'6'!E25</f>
        <v>34388.61</v>
      </c>
    </row>
    <row r="104" spans="1:6" x14ac:dyDescent="0.2">
      <c r="A104" t="str">
        <f t="shared" si="1"/>
        <v>ГОСТ 3063-807,6</v>
      </c>
      <c r="B104" t="s">
        <v>175</v>
      </c>
      <c r="C104" s="116">
        <f>'6'!B26</f>
        <v>7.6</v>
      </c>
      <c r="E104">
        <f>'6'!D26</f>
        <v>31586.639999999999</v>
      </c>
      <c r="F104">
        <f>'6'!E26</f>
        <v>38617.78</v>
      </c>
    </row>
    <row r="105" spans="1:6" x14ac:dyDescent="0.2">
      <c r="A105" t="str">
        <f t="shared" si="1"/>
        <v>ГОСТ 3063-808,1</v>
      </c>
      <c r="B105" t="s">
        <v>175</v>
      </c>
      <c r="C105" s="116">
        <f>'6'!B27</f>
        <v>8.1</v>
      </c>
      <c r="E105">
        <f>'6'!D27</f>
        <v>35148.78</v>
      </c>
      <c r="F105">
        <f>'6'!E27</f>
        <v>42972.82</v>
      </c>
    </row>
    <row r="106" spans="1:6" x14ac:dyDescent="0.2">
      <c r="A106" t="str">
        <f t="shared" si="1"/>
        <v>ГОСТ 3063-808,6</v>
      </c>
      <c r="B106" t="s">
        <v>175</v>
      </c>
      <c r="C106" s="116">
        <f>'6'!B28</f>
        <v>8.6</v>
      </c>
      <c r="E106">
        <f>'6'!D28</f>
        <v>39115.43</v>
      </c>
      <c r="F106">
        <f>'6'!E28</f>
        <v>47822.51</v>
      </c>
    </row>
    <row r="107" spans="1:6" x14ac:dyDescent="0.2">
      <c r="A107" t="str">
        <f t="shared" si="1"/>
        <v>ГОСТ 3063-809,1</v>
      </c>
      <c r="B107" t="s">
        <v>175</v>
      </c>
      <c r="C107" s="116">
        <f>'6'!B29</f>
        <v>9.1</v>
      </c>
      <c r="E107">
        <f>'6'!D29</f>
        <v>39919.71</v>
      </c>
      <c r="F107">
        <f>'6'!E29</f>
        <v>51216.86</v>
      </c>
    </row>
    <row r="108" spans="1:6" x14ac:dyDescent="0.2">
      <c r="A108" t="str">
        <f t="shared" si="1"/>
        <v>ГОСТ 3063-8010</v>
      </c>
      <c r="B108" t="s">
        <v>175</v>
      </c>
      <c r="C108" s="116">
        <f>'6'!B30</f>
        <v>10</v>
      </c>
      <c r="E108">
        <f>'6'!D30</f>
        <v>49010.04</v>
      </c>
      <c r="F108">
        <f>'6'!E30</f>
        <v>62879.66</v>
      </c>
    </row>
    <row r="109" spans="1:6" x14ac:dyDescent="0.2">
      <c r="A109" t="str">
        <f t="shared" si="1"/>
        <v>ГОСТ 3063-8011</v>
      </c>
      <c r="B109" t="s">
        <v>175</v>
      </c>
      <c r="C109" s="116">
        <f>'6'!B31</f>
        <v>11</v>
      </c>
      <c r="E109">
        <f>'6'!D31</f>
        <v>58649.760000000002</v>
      </c>
      <c r="F109">
        <f>'6'!E31</f>
        <v>75247.429999999993</v>
      </c>
    </row>
    <row r="110" spans="1:6" x14ac:dyDescent="0.2">
      <c r="A110" t="str">
        <f t="shared" si="1"/>
        <v>ГОСТ 3063-8012</v>
      </c>
      <c r="B110" t="s">
        <v>175</v>
      </c>
      <c r="C110" s="116">
        <f>'6'!B32</f>
        <v>12</v>
      </c>
      <c r="E110">
        <f>'6'!D32</f>
        <v>69840.240000000005</v>
      </c>
      <c r="F110">
        <f>'6'!E32</f>
        <v>89604.76</v>
      </c>
    </row>
    <row r="111" spans="1:6" x14ac:dyDescent="0.2">
      <c r="A111" t="str">
        <f t="shared" si="1"/>
        <v>ГОСТ 3063-8013</v>
      </c>
      <c r="B111" t="s">
        <v>175</v>
      </c>
      <c r="C111" s="116">
        <f>'6'!B33</f>
        <v>13</v>
      </c>
      <c r="E111">
        <f>'6'!D33</f>
        <v>80997.03</v>
      </c>
      <c r="F111">
        <f>'6'!E33</f>
        <v>103918.85</v>
      </c>
    </row>
    <row r="112" spans="1:6" x14ac:dyDescent="0.2">
      <c r="A112" t="str">
        <f t="shared" si="1"/>
        <v>ГОСТ 3063-8014</v>
      </c>
      <c r="B112" t="s">
        <v>175</v>
      </c>
      <c r="C112" s="116">
        <f>'6'!B34</f>
        <v>14</v>
      </c>
      <c r="E112">
        <f>'6'!D34</f>
        <v>96712.42</v>
      </c>
      <c r="F112">
        <f>'6'!E34</f>
        <v>124081.61</v>
      </c>
    </row>
    <row r="113" spans="1:6" x14ac:dyDescent="0.2">
      <c r="A113" t="str">
        <f t="shared" si="1"/>
        <v>ГОСТ 3063-8015</v>
      </c>
      <c r="B113" t="s">
        <v>175</v>
      </c>
      <c r="C113" s="116">
        <f>'6'!B35</f>
        <v>15</v>
      </c>
      <c r="E113">
        <f>'6'!D35</f>
        <v>106628.2</v>
      </c>
      <c r="F113">
        <f>'6'!E35</f>
        <v>136803.53</v>
      </c>
    </row>
    <row r="114" spans="1:6" x14ac:dyDescent="0.2">
      <c r="A114" t="str">
        <f t="shared" si="1"/>
        <v>ГОСТ 3063-8016</v>
      </c>
      <c r="B114" t="s">
        <v>175</v>
      </c>
      <c r="C114" s="116">
        <f>'6'!B36</f>
        <v>16</v>
      </c>
      <c r="E114">
        <f>'6'!D36</f>
        <v>120711.6</v>
      </c>
      <c r="F114">
        <f>'6'!E36</f>
        <v>154930.76</v>
      </c>
    </row>
    <row r="115" spans="1:6" x14ac:dyDescent="0.2">
      <c r="A115" t="str">
        <f t="shared" si="1"/>
        <v>ГОСТ 3063-8017</v>
      </c>
      <c r="B115" t="s">
        <v>175</v>
      </c>
      <c r="C115" s="116">
        <f>'6'!B37</f>
        <v>17</v>
      </c>
      <c r="E115">
        <f>'6'!D37</f>
        <v>136020.12</v>
      </c>
      <c r="F115">
        <f>'6'!E37</f>
        <v>174513.28</v>
      </c>
    </row>
    <row r="116" spans="1:6" x14ac:dyDescent="0.2">
      <c r="A116" t="str">
        <f t="shared" si="1"/>
        <v>ГОСТ 3063-8019</v>
      </c>
      <c r="B116" t="s">
        <v>175</v>
      </c>
      <c r="C116" s="116">
        <f>'6'!B38</f>
        <v>19</v>
      </c>
      <c r="E116">
        <f>'6'!D38</f>
        <v>168916.55</v>
      </c>
      <c r="F116">
        <f>'6'!E38</f>
        <v>216719.21</v>
      </c>
    </row>
    <row r="117" spans="1:6" x14ac:dyDescent="0.2">
      <c r="A117" t="str">
        <f t="shared" si="1"/>
        <v>ГОСТ 3064-801,8</v>
      </c>
      <c r="B117" t="s">
        <v>58</v>
      </c>
      <c r="C117" s="115">
        <f>'6'!B45</f>
        <v>1.8</v>
      </c>
      <c r="E117">
        <f>'6'!D45</f>
        <v>8402.7900000000009</v>
      </c>
      <c r="F117">
        <f>'6'!E45</f>
        <v>10392.26</v>
      </c>
    </row>
    <row r="118" spans="1:6" x14ac:dyDescent="0.2">
      <c r="A118" t="str">
        <f t="shared" si="1"/>
        <v>ГОСТ 3064-802</v>
      </c>
      <c r="B118" t="s">
        <v>58</v>
      </c>
      <c r="C118" s="115">
        <f>'6'!B46</f>
        <v>2</v>
      </c>
      <c r="E118">
        <f>'6'!D46</f>
        <v>8434.08</v>
      </c>
      <c r="F118">
        <f>'6'!E46</f>
        <v>10624.02</v>
      </c>
    </row>
    <row r="119" spans="1:6" x14ac:dyDescent="0.2">
      <c r="A119" t="str">
        <f t="shared" si="1"/>
        <v>ГОСТ 3064-802,1</v>
      </c>
      <c r="B119" t="s">
        <v>58</v>
      </c>
      <c r="C119" s="115">
        <f>'6'!B47</f>
        <v>2.1</v>
      </c>
      <c r="E119">
        <f>'6'!D47</f>
        <v>8460.67</v>
      </c>
      <c r="F119">
        <f>'6'!E47</f>
        <v>10757.13</v>
      </c>
    </row>
    <row r="120" spans="1:6" x14ac:dyDescent="0.2">
      <c r="A120" t="str">
        <f t="shared" si="1"/>
        <v>ГОСТ 3064-802,4</v>
      </c>
      <c r="B120" t="s">
        <v>58</v>
      </c>
      <c r="C120" s="115">
        <f>'6'!B48</f>
        <v>2.4</v>
      </c>
      <c r="E120">
        <f>'6'!D48</f>
        <v>8668.82</v>
      </c>
      <c r="F120">
        <f>'6'!E48</f>
        <v>11231.75</v>
      </c>
    </row>
    <row r="121" spans="1:6" x14ac:dyDescent="0.2">
      <c r="A121" t="str">
        <f t="shared" si="1"/>
        <v>ГОСТ 3064-802,7</v>
      </c>
      <c r="B121" t="s">
        <v>58</v>
      </c>
      <c r="C121" s="115">
        <f>'6'!B49</f>
        <v>2.7</v>
      </c>
      <c r="E121">
        <f>'6'!D49</f>
        <v>9321.2099999999991</v>
      </c>
      <c r="F121">
        <f>'6'!E49</f>
        <v>12680.83</v>
      </c>
    </row>
    <row r="122" spans="1:6" x14ac:dyDescent="0.2">
      <c r="A122" t="str">
        <f t="shared" si="1"/>
        <v>ГОСТ 3064-802,8</v>
      </c>
      <c r="B122" t="s">
        <v>58</v>
      </c>
      <c r="C122" s="115">
        <f>'6'!B50</f>
        <v>2.8</v>
      </c>
      <c r="E122">
        <f>'6'!D50</f>
        <v>9973.5499999999993</v>
      </c>
      <c r="F122">
        <f>'6'!E50</f>
        <v>13568.33</v>
      </c>
    </row>
    <row r="123" spans="1:6" x14ac:dyDescent="0.2">
      <c r="A123" t="str">
        <f t="shared" si="1"/>
        <v>ГОСТ 3064-803,6</v>
      </c>
      <c r="B123" t="s">
        <v>58</v>
      </c>
      <c r="C123" s="115">
        <f>'6'!B51</f>
        <v>3.6</v>
      </c>
      <c r="E123">
        <f>'6'!D51</f>
        <v>12179.15</v>
      </c>
      <c r="F123">
        <f>'6'!E51</f>
        <v>16568.990000000002</v>
      </c>
    </row>
    <row r="124" spans="1:6" x14ac:dyDescent="0.2">
      <c r="A124" t="str">
        <f t="shared" si="1"/>
        <v>ГОСТ 3064-804,2</v>
      </c>
      <c r="B124" t="s">
        <v>58</v>
      </c>
      <c r="C124" s="115">
        <f>'6'!B52</f>
        <v>4.2</v>
      </c>
      <c r="E124">
        <f>'6'!D52</f>
        <v>15127.98</v>
      </c>
      <c r="F124">
        <f>'6'!E52</f>
        <v>20580.48</v>
      </c>
    </row>
    <row r="125" spans="1:6" x14ac:dyDescent="0.2">
      <c r="A125" t="str">
        <f t="shared" si="1"/>
        <v>ГОСТ 3064-804,6</v>
      </c>
      <c r="B125" t="s">
        <v>58</v>
      </c>
      <c r="C125" s="115">
        <f>'6'!B53</f>
        <v>4.5999999999999996</v>
      </c>
      <c r="E125">
        <f>'6'!D53</f>
        <v>16758.63</v>
      </c>
      <c r="F125">
        <f>'6'!E53</f>
        <v>22798.9</v>
      </c>
    </row>
    <row r="126" spans="1:6" x14ac:dyDescent="0.2">
      <c r="A126" t="str">
        <f t="shared" si="1"/>
        <v>ГОСТ 3064-805</v>
      </c>
      <c r="B126" t="s">
        <v>58</v>
      </c>
      <c r="C126" s="115">
        <f>'6'!B54</f>
        <v>5</v>
      </c>
      <c r="E126">
        <f>'6'!D54</f>
        <v>18416.87</v>
      </c>
      <c r="F126">
        <f>'6'!E54</f>
        <v>25054.78</v>
      </c>
    </row>
    <row r="127" spans="1:6" x14ac:dyDescent="0.2">
      <c r="A127" t="str">
        <f t="shared" si="1"/>
        <v>ГОСТ 3064-805,6</v>
      </c>
      <c r="B127" t="s">
        <v>58</v>
      </c>
      <c r="C127" s="115">
        <f>'6'!B55</f>
        <v>5.6</v>
      </c>
      <c r="E127">
        <f>'6'!D55</f>
        <v>20840.89</v>
      </c>
      <c r="F127">
        <f>'6'!E55</f>
        <v>27526.799999999999</v>
      </c>
    </row>
    <row r="128" spans="1:6" x14ac:dyDescent="0.2">
      <c r="A128" t="str">
        <f t="shared" si="1"/>
        <v>ГОСТ 3064-806,4</v>
      </c>
      <c r="B128" t="s">
        <v>58</v>
      </c>
      <c r="C128" s="115">
        <f>'6'!B56</f>
        <v>6.4</v>
      </c>
      <c r="E128">
        <f>'6'!D56</f>
        <v>26215</v>
      </c>
      <c r="F128">
        <f>'6'!E56</f>
        <v>34624.9</v>
      </c>
    </row>
    <row r="129" spans="1:6" x14ac:dyDescent="0.2">
      <c r="A129" t="str">
        <f t="shared" si="1"/>
        <v>ГОСТ 3064-807</v>
      </c>
      <c r="B129" t="s">
        <v>58</v>
      </c>
      <c r="C129" s="115">
        <f>'6'!B57</f>
        <v>7</v>
      </c>
      <c r="E129">
        <f>'6'!D57</f>
        <v>31612.29</v>
      </c>
      <c r="F129">
        <f>'6'!E57</f>
        <v>41753.64</v>
      </c>
    </row>
    <row r="130" spans="1:6" x14ac:dyDescent="0.2">
      <c r="A130" t="str">
        <f t="shared" si="1"/>
        <v>ГОСТ 3064-807,8</v>
      </c>
      <c r="B130" t="s">
        <v>58</v>
      </c>
      <c r="C130" s="115">
        <f>'6'!B58</f>
        <v>7.8</v>
      </c>
      <c r="E130">
        <f>'6'!D58</f>
        <v>38204.04</v>
      </c>
      <c r="F130">
        <f>'6'!E58</f>
        <v>50459.17</v>
      </c>
    </row>
    <row r="131" spans="1:6" x14ac:dyDescent="0.2">
      <c r="A131" t="str">
        <f t="shared" ref="A131:A194" si="2">B131&amp;C131</f>
        <v>ГОСТ 3064-808,5</v>
      </c>
      <c r="B131" t="s">
        <v>58</v>
      </c>
      <c r="C131" s="115">
        <f>'6'!B59</f>
        <v>8.5</v>
      </c>
      <c r="E131">
        <f>'6'!D59</f>
        <v>45350.66</v>
      </c>
      <c r="F131">
        <f>'6'!E59</f>
        <v>59899.39</v>
      </c>
    </row>
    <row r="132" spans="1:6" x14ac:dyDescent="0.2">
      <c r="A132" t="str">
        <f t="shared" si="2"/>
        <v>ГОСТ 3064-809,2</v>
      </c>
      <c r="B132" t="s">
        <v>58</v>
      </c>
      <c r="C132" s="115">
        <f>'6'!B60</f>
        <v>9.1999999999999993</v>
      </c>
      <c r="E132">
        <f>'6'!D60</f>
        <v>52808.53</v>
      </c>
      <c r="F132">
        <f>'6'!E60</f>
        <v>69749.72</v>
      </c>
    </row>
    <row r="133" spans="1:6" x14ac:dyDescent="0.2">
      <c r="A133" t="str">
        <f t="shared" si="2"/>
        <v>ГОСТ 3064-809,9</v>
      </c>
      <c r="B133" t="s">
        <v>58</v>
      </c>
      <c r="C133" s="115">
        <f>'6'!B61</f>
        <v>9.9</v>
      </c>
      <c r="E133">
        <f>'6'!D61</f>
        <v>61061.06</v>
      </c>
      <c r="F133">
        <f>'6'!E61</f>
        <v>80649.73</v>
      </c>
    </row>
    <row r="134" spans="1:6" x14ac:dyDescent="0.2">
      <c r="A134" t="str">
        <f t="shared" si="2"/>
        <v>ГОСТ 3064-8010,5</v>
      </c>
      <c r="B134" t="s">
        <v>58</v>
      </c>
      <c r="C134" s="115">
        <f>'6'!B62</f>
        <v>10.5</v>
      </c>
      <c r="E134">
        <f>'6'!D62</f>
        <v>69313.11</v>
      </c>
      <c r="F134">
        <f>'6'!E62</f>
        <v>91564.5</v>
      </c>
    </row>
    <row r="135" spans="1:6" x14ac:dyDescent="0.2">
      <c r="A135" t="str">
        <f t="shared" si="2"/>
        <v>ГОСТ 3064-8011,5</v>
      </c>
      <c r="B135" t="s">
        <v>58</v>
      </c>
      <c r="C135" s="115">
        <f>'6'!B63</f>
        <v>11.5</v>
      </c>
      <c r="E135">
        <f>'6'!D63</f>
        <v>78026.28</v>
      </c>
      <c r="F135">
        <f>'6'!E63</f>
        <v>103057.41</v>
      </c>
    </row>
    <row r="136" spans="1:6" x14ac:dyDescent="0.2">
      <c r="A136" t="str">
        <f t="shared" si="2"/>
        <v>ГОСТ 3064-8012</v>
      </c>
      <c r="B136" t="s">
        <v>58</v>
      </c>
      <c r="C136" s="115">
        <f>'6'!B64</f>
        <v>12</v>
      </c>
      <c r="E136">
        <f>'6'!D64</f>
        <v>86444.7</v>
      </c>
      <c r="F136">
        <f>'6'!E64</f>
        <v>114102.82</v>
      </c>
    </row>
    <row r="137" spans="1:6" x14ac:dyDescent="0.2">
      <c r="A137" t="str">
        <f t="shared" si="2"/>
        <v>ГОСТ 3064-8012,5</v>
      </c>
      <c r="B137" t="s">
        <v>58</v>
      </c>
      <c r="C137" s="115">
        <f>'6'!B65</f>
        <v>12.5</v>
      </c>
      <c r="E137">
        <f>'6'!D65</f>
        <v>91525.35</v>
      </c>
      <c r="F137">
        <f>'6'!E65</f>
        <v>120803.02</v>
      </c>
    </row>
    <row r="138" spans="1:6" x14ac:dyDescent="0.2">
      <c r="A138" t="str">
        <f t="shared" si="2"/>
        <v>ГОСТ 3064-8014</v>
      </c>
      <c r="B138" t="s">
        <v>58</v>
      </c>
      <c r="C138" s="115">
        <f>'6'!B66</f>
        <v>14</v>
      </c>
      <c r="E138">
        <f>'6'!D66</f>
        <v>111865.39</v>
      </c>
      <c r="F138">
        <f>'6'!E66</f>
        <v>147649.57</v>
      </c>
    </row>
    <row r="139" spans="1:6" x14ac:dyDescent="0.2">
      <c r="A139" t="str">
        <f t="shared" si="2"/>
        <v>ГОСТ 3064-8015,5</v>
      </c>
      <c r="B139" t="s">
        <v>58</v>
      </c>
      <c r="C139" s="115">
        <f>'6'!B67</f>
        <v>15.5</v>
      </c>
      <c r="E139">
        <f>'6'!D67</f>
        <v>131802.34</v>
      </c>
      <c r="F139">
        <f>'6'!E67</f>
        <v>173964.05</v>
      </c>
    </row>
    <row r="140" spans="1:6" x14ac:dyDescent="0.2">
      <c r="A140" t="str">
        <f t="shared" si="2"/>
        <v>ГОСТ 3064-8017</v>
      </c>
      <c r="B140" t="s">
        <v>58</v>
      </c>
      <c r="C140" s="115">
        <f>'6'!B68</f>
        <v>17</v>
      </c>
      <c r="E140">
        <f>'6'!D68</f>
        <v>148693.01</v>
      </c>
      <c r="F140">
        <f>'6'!E68</f>
        <v>196257.88</v>
      </c>
    </row>
    <row r="141" spans="1:6" x14ac:dyDescent="0.2">
      <c r="A141" t="str">
        <f t="shared" si="2"/>
        <v>ГОСТ 3064-8018,5</v>
      </c>
      <c r="B141" t="s">
        <v>58</v>
      </c>
      <c r="C141" s="115">
        <f>'6'!B69</f>
        <v>18.5</v>
      </c>
      <c r="E141">
        <f>'6'!D69</f>
        <v>174910.32</v>
      </c>
      <c r="F141">
        <f>'6'!E69</f>
        <v>230885.4</v>
      </c>
    </row>
    <row r="142" spans="1:6" x14ac:dyDescent="0.2">
      <c r="A142" t="str">
        <f t="shared" si="2"/>
        <v>ГОСТ 3064-8020</v>
      </c>
      <c r="B142" t="s">
        <v>58</v>
      </c>
      <c r="C142" s="115">
        <f>'6'!B70</f>
        <v>20</v>
      </c>
      <c r="E142">
        <f>'6'!D70</f>
        <v>196184.84</v>
      </c>
      <c r="F142">
        <f>'6'!E70</f>
        <v>258937.49</v>
      </c>
    </row>
    <row r="143" spans="1:6" x14ac:dyDescent="0.2">
      <c r="A143" t="str">
        <f t="shared" si="2"/>
        <v>ГОСТ 3064-8021</v>
      </c>
      <c r="B143" t="s">
        <v>58</v>
      </c>
      <c r="C143" s="115">
        <f>'6'!B71</f>
        <v>21</v>
      </c>
      <c r="E143">
        <f>'6'!D71</f>
        <v>222280.06</v>
      </c>
      <c r="F143">
        <f>'6'!E71</f>
        <v>293384.26</v>
      </c>
    </row>
    <row r="144" spans="1:6" x14ac:dyDescent="0.2">
      <c r="A144" t="str">
        <f t="shared" si="2"/>
        <v>ГОСТ 3064-8022,5</v>
      </c>
      <c r="B144" t="s">
        <v>58</v>
      </c>
      <c r="C144" s="115">
        <f>'6'!B72</f>
        <v>22.5</v>
      </c>
      <c r="E144">
        <f>'6'!D72</f>
        <v>251563.82</v>
      </c>
      <c r="F144">
        <f>'6'!E72</f>
        <v>332035.59000000003</v>
      </c>
    </row>
    <row r="145" spans="1:6" x14ac:dyDescent="0.2">
      <c r="A145" t="str">
        <f t="shared" si="2"/>
        <v>ГОСТ 3064-8024</v>
      </c>
      <c r="B145" t="s">
        <v>58</v>
      </c>
      <c r="C145" s="115">
        <f>'6'!B73</f>
        <v>24</v>
      </c>
      <c r="E145">
        <f>'6'!D73</f>
        <v>280001.90999999997</v>
      </c>
      <c r="F145">
        <f>'6'!E73</f>
        <v>369570.62</v>
      </c>
    </row>
    <row r="146" spans="1:6" x14ac:dyDescent="0.2">
      <c r="A146" t="str">
        <f t="shared" si="2"/>
        <v>ГОСТ 3064-8027</v>
      </c>
      <c r="B146" t="s">
        <v>58</v>
      </c>
      <c r="C146" s="115">
        <f>'6'!B74</f>
        <v>27</v>
      </c>
      <c r="E146">
        <f>'6'!D74</f>
        <v>347819</v>
      </c>
      <c r="F146">
        <f>'6'!E74</f>
        <v>459088.9</v>
      </c>
    </row>
    <row r="147" spans="1:6" x14ac:dyDescent="0.2">
      <c r="A147" t="str">
        <f t="shared" si="2"/>
        <v>ГОСТ 3066-801,9</v>
      </c>
      <c r="B147" t="s">
        <v>177</v>
      </c>
      <c r="C147" s="117">
        <f>'7'!B6</f>
        <v>1.9</v>
      </c>
      <c r="E147">
        <f>'7'!D6</f>
        <v>13576.03</v>
      </c>
      <c r="F147">
        <f>'7'!E6</f>
        <v>16833.900000000001</v>
      </c>
    </row>
    <row r="148" spans="1:6" x14ac:dyDescent="0.2">
      <c r="A148" t="str">
        <f t="shared" si="2"/>
        <v>ГОСТ 3066-802</v>
      </c>
      <c r="B148" t="s">
        <v>177</v>
      </c>
      <c r="C148" s="117">
        <f>'7'!B7</f>
        <v>2</v>
      </c>
      <c r="E148">
        <f>'7'!D7</f>
        <v>14004.78</v>
      </c>
      <c r="F148">
        <f>'7'!E7</f>
        <v>17295.66</v>
      </c>
    </row>
    <row r="149" spans="1:6" x14ac:dyDescent="0.2">
      <c r="A149" t="str">
        <f t="shared" si="2"/>
        <v>ГОСТ 3066-802,2</v>
      </c>
      <c r="B149" t="s">
        <v>177</v>
      </c>
      <c r="C149" s="117">
        <f>'7'!B8</f>
        <v>2.2000000000000002</v>
      </c>
      <c r="E149">
        <f>'7'!D8</f>
        <v>14009.48</v>
      </c>
      <c r="F149">
        <f>'7'!E8</f>
        <v>17515.5</v>
      </c>
    </row>
    <row r="150" spans="1:6" x14ac:dyDescent="0.2">
      <c r="A150" t="str">
        <f t="shared" si="2"/>
        <v>ГОСТ 3066-802,4</v>
      </c>
      <c r="B150" t="s">
        <v>177</v>
      </c>
      <c r="C150" s="117">
        <f>'7'!B9</f>
        <v>2.4</v>
      </c>
      <c r="E150">
        <f>'7'!D9</f>
        <v>14424.21</v>
      </c>
      <c r="F150">
        <f>'7'!E9</f>
        <v>17968.45</v>
      </c>
    </row>
    <row r="151" spans="1:6" x14ac:dyDescent="0.2">
      <c r="A151" t="str">
        <f t="shared" si="2"/>
        <v>ГОСТ 3066-802,6</v>
      </c>
      <c r="B151" t="s">
        <v>177</v>
      </c>
      <c r="C151" s="117">
        <f>'7'!B10</f>
        <v>2.6</v>
      </c>
      <c r="E151">
        <f>'7'!D10</f>
        <v>14652.57</v>
      </c>
      <c r="F151">
        <f>'7'!E10</f>
        <v>18276.32</v>
      </c>
    </row>
    <row r="152" spans="1:6" x14ac:dyDescent="0.2">
      <c r="A152" t="str">
        <f t="shared" si="2"/>
        <v>ГОСТ 3066-802,8</v>
      </c>
      <c r="B152" t="s">
        <v>177</v>
      </c>
      <c r="C152" s="117">
        <f>'7'!B11</f>
        <v>2.8</v>
      </c>
      <c r="E152">
        <f>'7'!D11</f>
        <v>14713.22</v>
      </c>
      <c r="F152">
        <f>'7'!E11</f>
        <v>18601.7</v>
      </c>
    </row>
    <row r="153" spans="1:6" x14ac:dyDescent="0.2">
      <c r="A153" t="str">
        <f t="shared" si="2"/>
        <v>ГОСТ 3066-803,1</v>
      </c>
      <c r="B153" t="s">
        <v>177</v>
      </c>
      <c r="C153" s="117">
        <f>'7'!B12</f>
        <v>3.1</v>
      </c>
      <c r="E153">
        <f>'7'!D12</f>
        <v>15305.12</v>
      </c>
      <c r="F153">
        <f>'7'!E12</f>
        <v>19450.439999999999</v>
      </c>
    </row>
    <row r="154" spans="1:6" x14ac:dyDescent="0.2">
      <c r="A154" t="str">
        <f t="shared" si="2"/>
        <v>ГОСТ 3066-803,5</v>
      </c>
      <c r="B154" t="s">
        <v>177</v>
      </c>
      <c r="C154" s="117">
        <f>'7'!B13</f>
        <v>3.5</v>
      </c>
      <c r="E154">
        <f>'7'!D13</f>
        <v>16213.9</v>
      </c>
      <c r="F154">
        <f>'7'!E13</f>
        <v>20448.7</v>
      </c>
    </row>
    <row r="155" spans="1:6" x14ac:dyDescent="0.2">
      <c r="A155" t="str">
        <f t="shared" si="2"/>
        <v>ГОСТ 3066-803,8</v>
      </c>
      <c r="B155" t="s">
        <v>177</v>
      </c>
      <c r="C155" s="117">
        <f>'7'!B14</f>
        <v>3.8</v>
      </c>
      <c r="E155">
        <f>'7'!D14</f>
        <v>16432.919999999998</v>
      </c>
      <c r="F155">
        <f>'7'!E14</f>
        <v>20910.439999999999</v>
      </c>
    </row>
    <row r="156" spans="1:6" x14ac:dyDescent="0.2">
      <c r="A156" t="str">
        <f t="shared" si="2"/>
        <v>ГОСТ 3066-804,2</v>
      </c>
      <c r="B156" t="s">
        <v>177</v>
      </c>
      <c r="C156" s="117">
        <f>'7'!B15</f>
        <v>4.2</v>
      </c>
      <c r="E156">
        <f>'7'!D15</f>
        <v>17909.96</v>
      </c>
      <c r="F156">
        <f>'7'!E15</f>
        <v>22291.279999999999</v>
      </c>
    </row>
    <row r="157" spans="1:6" x14ac:dyDescent="0.2">
      <c r="A157" t="str">
        <f t="shared" si="2"/>
        <v>ГОСТ 3066-804,6</v>
      </c>
      <c r="B157" t="s">
        <v>177</v>
      </c>
      <c r="C157" s="117">
        <f>'7'!B16</f>
        <v>4.5999999999999996</v>
      </c>
      <c r="E157">
        <f>'7'!D16</f>
        <v>20552.810000000001</v>
      </c>
      <c r="F157">
        <f>'7'!E16</f>
        <v>26229.19</v>
      </c>
    </row>
    <row r="158" spans="1:6" x14ac:dyDescent="0.2">
      <c r="A158" t="str">
        <f t="shared" si="2"/>
        <v>ГОСТ 3066-805,6</v>
      </c>
      <c r="B158" t="s">
        <v>177</v>
      </c>
      <c r="C158" s="117">
        <f>'7'!B17</f>
        <v>5.6</v>
      </c>
      <c r="E158">
        <f>'7'!D17</f>
        <v>25514.84</v>
      </c>
      <c r="F158">
        <f>'7'!E17</f>
        <v>32948.589999999997</v>
      </c>
    </row>
    <row r="159" spans="1:6" x14ac:dyDescent="0.2">
      <c r="A159" t="str">
        <f t="shared" si="2"/>
        <v>ГОСТ 3066-806,4</v>
      </c>
      <c r="B159" t="s">
        <v>177</v>
      </c>
      <c r="C159" s="117">
        <f>'7'!B18</f>
        <v>6.4</v>
      </c>
      <c r="E159">
        <f>'7'!D18</f>
        <v>30366.85</v>
      </c>
      <c r="F159">
        <f>'7'!E18</f>
        <v>37228.93</v>
      </c>
    </row>
    <row r="160" spans="1:6" x14ac:dyDescent="0.2">
      <c r="A160" t="str">
        <f t="shared" si="2"/>
        <v>ГОСТ 3066-807,4</v>
      </c>
      <c r="B160" t="s">
        <v>177</v>
      </c>
      <c r="C160" s="117">
        <f>'7'!B19</f>
        <v>7.4</v>
      </c>
      <c r="E160">
        <f>'7'!D19</f>
        <v>37035.760000000002</v>
      </c>
      <c r="F160">
        <f>'7'!E19</f>
        <v>45690.879999999997</v>
      </c>
    </row>
    <row r="161" spans="1:6" x14ac:dyDescent="0.2">
      <c r="A161" t="str">
        <f t="shared" si="2"/>
        <v>ГОСТ 3066-808,2</v>
      </c>
      <c r="B161" t="s">
        <v>177</v>
      </c>
      <c r="C161" s="117">
        <f>'7'!B20</f>
        <v>8.1999999999999993</v>
      </c>
      <c r="E161">
        <f>'7'!D20</f>
        <v>41889.370000000003</v>
      </c>
      <c r="F161">
        <f>'7'!E20</f>
        <v>51677.1</v>
      </c>
    </row>
    <row r="162" spans="1:6" x14ac:dyDescent="0.2">
      <c r="A162" t="str">
        <f t="shared" si="2"/>
        <v>ГОСТ 3066-809,2</v>
      </c>
      <c r="B162" t="s">
        <v>177</v>
      </c>
      <c r="C162" s="117">
        <f>'7'!B21</f>
        <v>9.1999999999999993</v>
      </c>
      <c r="E162">
        <f>'7'!D21</f>
        <v>42351.01</v>
      </c>
      <c r="F162">
        <f>'7'!E21</f>
        <v>54860.01</v>
      </c>
    </row>
    <row r="163" spans="1:6" x14ac:dyDescent="0.2">
      <c r="A163" t="str">
        <f t="shared" si="2"/>
        <v>ГОСТ 3066-8010</v>
      </c>
      <c r="B163" t="s">
        <v>177</v>
      </c>
      <c r="C163" s="117">
        <f>'7'!B22</f>
        <v>10</v>
      </c>
      <c r="E163">
        <f>'7'!D22</f>
        <v>49828.17</v>
      </c>
      <c r="F163">
        <f>'7'!E22</f>
        <v>64509.37</v>
      </c>
    </row>
    <row r="164" spans="1:6" x14ac:dyDescent="0.2">
      <c r="A164" t="str">
        <f t="shared" si="2"/>
        <v>ГОСТ 3066-8011</v>
      </c>
      <c r="B164" t="s">
        <v>177</v>
      </c>
      <c r="C164" s="117">
        <f>'7'!B23</f>
        <v>11</v>
      </c>
      <c r="E164">
        <f>'7'!D23</f>
        <v>58443.42</v>
      </c>
      <c r="F164">
        <f>'7'!E23</f>
        <v>75690.350000000006</v>
      </c>
    </row>
    <row r="165" spans="1:6" x14ac:dyDescent="0.2">
      <c r="A165" t="str">
        <f t="shared" si="2"/>
        <v>ГОСТ 3066-8012</v>
      </c>
      <c r="B165" t="s">
        <v>177</v>
      </c>
      <c r="C165" s="117">
        <f>'7'!B24</f>
        <v>12</v>
      </c>
      <c r="E165">
        <f>'7'!D24</f>
        <v>68295.990000000005</v>
      </c>
      <c r="F165">
        <f>'7'!E24</f>
        <v>88480.83</v>
      </c>
    </row>
    <row r="166" spans="1:6" x14ac:dyDescent="0.2">
      <c r="A166" t="str">
        <f t="shared" si="2"/>
        <v>ГОСТ 3066-8013</v>
      </c>
      <c r="B166" t="s">
        <v>177</v>
      </c>
      <c r="C166" s="117">
        <f>'7'!B25</f>
        <v>13</v>
      </c>
      <c r="E166">
        <f>'7'!D25</f>
        <v>82859.289999999994</v>
      </c>
      <c r="F166">
        <f>'7'!E25</f>
        <v>107274.59</v>
      </c>
    </row>
    <row r="167" spans="1:6" x14ac:dyDescent="0.2">
      <c r="A167" t="str">
        <f t="shared" si="2"/>
        <v>ГОСТ 3066-8014</v>
      </c>
      <c r="B167" t="s">
        <v>177</v>
      </c>
      <c r="C167" s="117">
        <f>'7'!B26</f>
        <v>14</v>
      </c>
      <c r="E167">
        <f>'7'!D26</f>
        <v>94063.74</v>
      </c>
      <c r="F167">
        <f>'7'!E26</f>
        <v>121868.57</v>
      </c>
    </row>
    <row r="168" spans="1:6" x14ac:dyDescent="0.2">
      <c r="A168" t="str">
        <f t="shared" si="2"/>
        <v>ГОСТ 3066-8015</v>
      </c>
      <c r="B168" t="s">
        <v>177</v>
      </c>
      <c r="C168" s="117">
        <f>'7'!B27</f>
        <v>15</v>
      </c>
      <c r="E168">
        <f>'7'!D27</f>
        <v>99646.04</v>
      </c>
      <c r="F168">
        <f>'7'!E27</f>
        <v>129114.05</v>
      </c>
    </row>
    <row r="169" spans="1:6" x14ac:dyDescent="0.2">
      <c r="A169" t="str">
        <f t="shared" si="2"/>
        <v>ГОСТ 3066-8015,5</v>
      </c>
      <c r="B169" t="s">
        <v>177</v>
      </c>
      <c r="C169" s="117">
        <f>'7'!B28</f>
        <v>15.5</v>
      </c>
      <c r="E169">
        <f>'7'!D28</f>
        <v>111663.44</v>
      </c>
      <c r="F169">
        <f>'7'!E28</f>
        <v>144688.26</v>
      </c>
    </row>
    <row r="170" spans="1:6" x14ac:dyDescent="0.2">
      <c r="A170" t="str">
        <f t="shared" si="2"/>
        <v>ГОСТ 3066-8016,5</v>
      </c>
      <c r="B170" t="s">
        <v>177</v>
      </c>
      <c r="C170" s="117">
        <f>'7'!B29</f>
        <v>16.5</v>
      </c>
      <c r="E170">
        <f>'7'!D29</f>
        <v>122406.17</v>
      </c>
      <c r="F170">
        <f>'7'!E29</f>
        <v>158572.4</v>
      </c>
    </row>
    <row r="171" spans="1:6" x14ac:dyDescent="0.2">
      <c r="A171" t="str">
        <f t="shared" si="2"/>
        <v>ГОСТ 3066-8018,5</v>
      </c>
      <c r="B171" t="s">
        <v>177</v>
      </c>
      <c r="C171" s="117">
        <f>'7'!B30</f>
        <v>18.5</v>
      </c>
      <c r="E171">
        <f>'7'!D30</f>
        <v>149997.21</v>
      </c>
      <c r="F171">
        <f>'7'!E30</f>
        <v>194371.58</v>
      </c>
    </row>
    <row r="172" spans="1:6" x14ac:dyDescent="0.2">
      <c r="A172" t="str">
        <f t="shared" si="2"/>
        <v>ГОСТ 3066-8020</v>
      </c>
      <c r="B172" t="s">
        <v>177</v>
      </c>
      <c r="C172" s="117">
        <f>'7'!B31</f>
        <v>20</v>
      </c>
      <c r="E172">
        <f>'7'!D31</f>
        <v>171138.08</v>
      </c>
      <c r="F172">
        <f>'7'!E31</f>
        <v>221716.08</v>
      </c>
    </row>
    <row r="173" spans="1:6" x14ac:dyDescent="0.2">
      <c r="A173" t="str">
        <f t="shared" si="2"/>
        <v>ГОСТ 3066-8022</v>
      </c>
      <c r="B173" t="s">
        <v>177</v>
      </c>
      <c r="C173" s="117">
        <f>'7'!B32</f>
        <v>22</v>
      </c>
      <c r="E173">
        <f>'7'!D32</f>
        <v>203078.19</v>
      </c>
      <c r="F173">
        <f>'7'!E32</f>
        <v>263028.7</v>
      </c>
    </row>
    <row r="174" spans="1:6" x14ac:dyDescent="0.2">
      <c r="A174" t="str">
        <f t="shared" si="2"/>
        <v>ГОСТ 3066-8024</v>
      </c>
      <c r="B174" t="s">
        <v>177</v>
      </c>
      <c r="C174" s="117">
        <f>'7'!B33</f>
        <v>24</v>
      </c>
      <c r="E174">
        <f>'7'!D33</f>
        <v>236233.1</v>
      </c>
      <c r="F174">
        <f>'7'!E33</f>
        <v>306060.59000000003</v>
      </c>
    </row>
    <row r="175" spans="1:6" x14ac:dyDescent="0.2">
      <c r="A175" t="str">
        <f t="shared" si="2"/>
        <v>ГОСТ 3066-8026</v>
      </c>
      <c r="B175" t="s">
        <v>177</v>
      </c>
      <c r="C175" s="117">
        <f>'7'!B34</f>
        <v>26</v>
      </c>
      <c r="E175">
        <f>'7'!D34</f>
        <v>271916.03999999998</v>
      </c>
      <c r="F175">
        <f>'7'!E34</f>
        <v>352209.58</v>
      </c>
    </row>
    <row r="176" spans="1:6" x14ac:dyDescent="0.2">
      <c r="A176" t="str">
        <f t="shared" si="2"/>
        <v>ГОСТ 3066-8027,5</v>
      </c>
      <c r="B176" t="s">
        <v>177</v>
      </c>
      <c r="C176" s="117">
        <f>'7'!B35</f>
        <v>27.5</v>
      </c>
      <c r="E176">
        <f>'7'!D35</f>
        <v>310520.87</v>
      </c>
      <c r="F176">
        <f>'7'!E35</f>
        <v>402010.19</v>
      </c>
    </row>
    <row r="177" spans="1:6" x14ac:dyDescent="0.2">
      <c r="A177" t="str">
        <f t="shared" si="2"/>
        <v>ГОСТ 3067-883,1</v>
      </c>
      <c r="B177" t="s">
        <v>178</v>
      </c>
      <c r="C177">
        <f>'7'!B42</f>
        <v>3.1</v>
      </c>
      <c r="E177">
        <f>'7'!D42</f>
        <v>21277.88</v>
      </c>
      <c r="F177">
        <f>'7'!E42</f>
        <v>25529.79</v>
      </c>
    </row>
    <row r="178" spans="1:6" x14ac:dyDescent="0.2">
      <c r="A178" t="str">
        <f t="shared" si="2"/>
        <v>ГОСТ 3067-883,4</v>
      </c>
      <c r="B178" t="s">
        <v>178</v>
      </c>
      <c r="C178">
        <f>'7'!B43</f>
        <v>3.4</v>
      </c>
      <c r="E178">
        <f>'7'!D43</f>
        <v>21450.1</v>
      </c>
      <c r="F178">
        <f>'7'!E43</f>
        <v>25736.46</v>
      </c>
    </row>
    <row r="179" spans="1:6" x14ac:dyDescent="0.2">
      <c r="A179" t="str">
        <f t="shared" si="2"/>
        <v>ГОСТ 3067-883,7</v>
      </c>
      <c r="B179" t="s">
        <v>178</v>
      </c>
      <c r="C179">
        <f>'7'!B44</f>
        <v>3.7</v>
      </c>
      <c r="E179">
        <f>'7'!D44</f>
        <v>22349.43</v>
      </c>
      <c r="F179">
        <f>'7'!E44</f>
        <v>26815.53</v>
      </c>
    </row>
    <row r="180" spans="1:6" x14ac:dyDescent="0.2">
      <c r="A180" t="str">
        <f t="shared" si="2"/>
        <v>ГОСТ 3067-884</v>
      </c>
      <c r="B180" t="s">
        <v>178</v>
      </c>
      <c r="C180">
        <f>'7'!B45</f>
        <v>4</v>
      </c>
      <c r="E180">
        <f>'7'!D45</f>
        <v>23528.21</v>
      </c>
      <c r="F180">
        <f>'7'!E45</f>
        <v>28229.8</v>
      </c>
    </row>
    <row r="181" spans="1:6" x14ac:dyDescent="0.2">
      <c r="A181" t="str">
        <f t="shared" si="2"/>
        <v>ГОСТ 3067-884,3</v>
      </c>
      <c r="B181" t="s">
        <v>178</v>
      </c>
      <c r="C181">
        <f>'7'!B46</f>
        <v>4.3</v>
      </c>
      <c r="E181">
        <f>'7'!D46</f>
        <v>23100.18</v>
      </c>
      <c r="F181">
        <f>'7'!E46</f>
        <v>27716.25</v>
      </c>
    </row>
    <row r="182" spans="1:6" x14ac:dyDescent="0.2">
      <c r="A182" t="str">
        <f t="shared" si="2"/>
        <v>ГОСТ 3067-884,6</v>
      </c>
      <c r="B182" t="s">
        <v>178</v>
      </c>
      <c r="C182">
        <f>'7'!B47</f>
        <v>4.5999999999999996</v>
      </c>
      <c r="E182">
        <f>'7'!D47</f>
        <v>23662.05</v>
      </c>
      <c r="F182">
        <f>'7'!E47</f>
        <v>28390.51</v>
      </c>
    </row>
    <row r="183" spans="1:6" x14ac:dyDescent="0.2">
      <c r="A183" t="str">
        <f t="shared" si="2"/>
        <v>ГОСТ 3067-885,2</v>
      </c>
      <c r="B183" t="s">
        <v>178</v>
      </c>
      <c r="C183">
        <f>'7'!B48</f>
        <v>5.2</v>
      </c>
      <c r="E183">
        <f>'7'!D48</f>
        <v>27748.34</v>
      </c>
      <c r="F183">
        <f>'7'!E48</f>
        <v>33293.269999999997</v>
      </c>
    </row>
    <row r="184" spans="1:6" x14ac:dyDescent="0.2">
      <c r="A184" t="str">
        <f t="shared" si="2"/>
        <v>ГОСТ 3067-885,8</v>
      </c>
      <c r="B184" t="s">
        <v>178</v>
      </c>
      <c r="C184">
        <f>'7'!B49</f>
        <v>5.8</v>
      </c>
      <c r="E184">
        <f>'7'!D49</f>
        <v>32506.44</v>
      </c>
      <c r="F184">
        <f>'7'!E49</f>
        <v>39002.239999999998</v>
      </c>
    </row>
    <row r="185" spans="1:6" x14ac:dyDescent="0.2">
      <c r="A185" t="str">
        <f t="shared" si="2"/>
        <v>ГОСТ 3067-886,2</v>
      </c>
      <c r="B185" t="s">
        <v>178</v>
      </c>
      <c r="C185">
        <f>'7'!B50</f>
        <v>6.2</v>
      </c>
      <c r="E185">
        <f>'7'!D50</f>
        <v>32920.5</v>
      </c>
      <c r="F185">
        <f>'7'!E50</f>
        <v>39499.01</v>
      </c>
    </row>
    <row r="186" spans="1:6" x14ac:dyDescent="0.2">
      <c r="A186" t="str">
        <f t="shared" si="2"/>
        <v>ГОСТ 3067-887,6</v>
      </c>
      <c r="B186" t="s">
        <v>178</v>
      </c>
      <c r="C186">
        <f>'7'!B51</f>
        <v>7.6</v>
      </c>
      <c r="E186">
        <f>'7'!D51</f>
        <v>44108.11</v>
      </c>
      <c r="F186">
        <f>'7'!E51</f>
        <v>52922.23</v>
      </c>
    </row>
    <row r="187" spans="1:6" x14ac:dyDescent="0.2">
      <c r="A187" t="str">
        <f t="shared" si="2"/>
        <v>ГОСТ 3067-888,4</v>
      </c>
      <c r="B187" t="s">
        <v>178</v>
      </c>
      <c r="C187">
        <f>'7'!B52</f>
        <v>8.4</v>
      </c>
      <c r="E187">
        <f>'7'!D52</f>
        <v>46985.24</v>
      </c>
      <c r="F187">
        <f>'7'!E52</f>
        <v>56374.34</v>
      </c>
    </row>
    <row r="188" spans="1:6" x14ac:dyDescent="0.2">
      <c r="A188" t="str">
        <f t="shared" si="2"/>
        <v>ГОСТ 3067-889,2</v>
      </c>
      <c r="B188" t="s">
        <v>178</v>
      </c>
      <c r="C188">
        <f>'7'!B53</f>
        <v>9.1999999999999993</v>
      </c>
      <c r="E188">
        <f>'7'!D53</f>
        <v>49136.61</v>
      </c>
      <c r="F188">
        <f>'7'!E53</f>
        <v>61903.360000000001</v>
      </c>
    </row>
    <row r="189" spans="1:6" x14ac:dyDescent="0.2">
      <c r="A189" t="str">
        <f t="shared" si="2"/>
        <v>ГОСТ 3067-889,9</v>
      </c>
      <c r="B189" t="s">
        <v>178</v>
      </c>
      <c r="C189">
        <f>'7'!B54</f>
        <v>9.9</v>
      </c>
      <c r="E189">
        <f>'7'!D54</f>
        <v>55587.88</v>
      </c>
      <c r="F189">
        <f>'7'!E54</f>
        <v>71228.61</v>
      </c>
    </row>
    <row r="190" spans="1:6" x14ac:dyDescent="0.2">
      <c r="A190" t="str">
        <f t="shared" si="2"/>
        <v>ГОСТ 3067-8810,5</v>
      </c>
      <c r="B190" t="s">
        <v>178</v>
      </c>
      <c r="C190">
        <f>'7'!B55</f>
        <v>10.5</v>
      </c>
      <c r="E190">
        <f>'7'!D55</f>
        <v>56522.87</v>
      </c>
      <c r="F190">
        <f>'7'!E55</f>
        <v>72426.75</v>
      </c>
    </row>
    <row r="191" spans="1:6" x14ac:dyDescent="0.2">
      <c r="A191" t="str">
        <f t="shared" si="2"/>
        <v>ГОСТ 3067-8812</v>
      </c>
      <c r="B191" t="s">
        <v>178</v>
      </c>
      <c r="C191">
        <f>'7'!B56</f>
        <v>12</v>
      </c>
      <c r="E191">
        <f>'7'!D56</f>
        <v>67060.67</v>
      </c>
      <c r="F191">
        <f>'7'!E56</f>
        <v>85929.62</v>
      </c>
    </row>
    <row r="192" spans="1:6" x14ac:dyDescent="0.2">
      <c r="A192" t="str">
        <f t="shared" si="2"/>
        <v>ГОСТ 3067-8813,5</v>
      </c>
      <c r="B192" t="s">
        <v>178</v>
      </c>
      <c r="C192">
        <f>'7'!B57</f>
        <v>13.5</v>
      </c>
      <c r="E192">
        <f>'7'!D57</f>
        <v>83968.57</v>
      </c>
      <c r="F192">
        <f>'7'!E57</f>
        <v>107594.92</v>
      </c>
    </row>
    <row r="193" spans="1:6" x14ac:dyDescent="0.2">
      <c r="A193" t="str">
        <f t="shared" si="2"/>
        <v>ГОСТ 3067-8815</v>
      </c>
      <c r="B193" t="s">
        <v>178</v>
      </c>
      <c r="C193">
        <f>'7'!B58</f>
        <v>15</v>
      </c>
      <c r="E193">
        <f>'7'!D58</f>
        <v>98339.42</v>
      </c>
      <c r="F193">
        <f>'7'!E58</f>
        <v>126009.28</v>
      </c>
    </row>
    <row r="194" spans="1:6" x14ac:dyDescent="0.2">
      <c r="A194" t="str">
        <f t="shared" si="2"/>
        <v>ГОСТ 3067-8816,5</v>
      </c>
      <c r="B194" t="s">
        <v>178</v>
      </c>
      <c r="C194">
        <f>'7'!B59</f>
        <v>16.5</v>
      </c>
      <c r="E194">
        <f>'7'!D59</f>
        <v>115453.58</v>
      </c>
      <c r="F194">
        <f>'7'!E59</f>
        <v>147981.57</v>
      </c>
    </row>
    <row r="195" spans="1:6" x14ac:dyDescent="0.2">
      <c r="A195" t="str">
        <f t="shared" ref="A195:A258" si="3">B195&amp;C195</f>
        <v>ГОСТ 3067-8818,5</v>
      </c>
      <c r="B195" t="s">
        <v>178</v>
      </c>
      <c r="C195">
        <f>'7'!B60</f>
        <v>18.5</v>
      </c>
      <c r="E195">
        <f>'7'!D60</f>
        <v>137416.15</v>
      </c>
      <c r="F195">
        <f>'7'!E60</f>
        <v>179746.29</v>
      </c>
    </row>
    <row r="196" spans="1:6" x14ac:dyDescent="0.2">
      <c r="A196" t="str">
        <f t="shared" si="3"/>
        <v>ГОСТ 3068-884,7</v>
      </c>
      <c r="B196" t="s">
        <v>103</v>
      </c>
      <c r="C196" s="117">
        <f>'7'!B67</f>
        <v>4.7</v>
      </c>
      <c r="E196" s="117">
        <f>'7'!D67</f>
        <v>25323.84</v>
      </c>
      <c r="F196" s="117">
        <f>'7'!E67</f>
        <v>31840.82</v>
      </c>
    </row>
    <row r="197" spans="1:6" x14ac:dyDescent="0.2">
      <c r="A197" t="str">
        <f t="shared" si="3"/>
        <v>ГОСТ 3068-885,1</v>
      </c>
      <c r="B197" t="s">
        <v>103</v>
      </c>
      <c r="C197" s="117">
        <f>'7'!B68</f>
        <v>5.0999999999999996</v>
      </c>
      <c r="E197" s="117">
        <f>'7'!D68</f>
        <v>28139.33</v>
      </c>
      <c r="F197" s="117">
        <f>'7'!E68</f>
        <v>35380.97</v>
      </c>
    </row>
    <row r="198" spans="1:6" x14ac:dyDescent="0.2">
      <c r="A198" t="str">
        <f t="shared" si="3"/>
        <v>ГОСТ 3068-885,5</v>
      </c>
      <c r="B198" t="s">
        <v>103</v>
      </c>
      <c r="C198" s="117">
        <f>'7'!B69</f>
        <v>5.5</v>
      </c>
      <c r="E198" s="117">
        <f>'7'!D69</f>
        <v>32369.1</v>
      </c>
      <c r="F198" s="117">
        <f>'7'!E69</f>
        <v>40785.050000000003</v>
      </c>
    </row>
    <row r="199" spans="1:6" x14ac:dyDescent="0.2">
      <c r="A199" t="str">
        <f t="shared" si="3"/>
        <v>ГОСТ 3068-885,9</v>
      </c>
      <c r="B199" t="s">
        <v>103</v>
      </c>
      <c r="C199" s="117">
        <f>'7'!B70</f>
        <v>5.9</v>
      </c>
      <c r="E199" s="117">
        <f>'7'!D70</f>
        <v>35017.31</v>
      </c>
      <c r="F199" s="117">
        <f>'7'!E70</f>
        <v>44013.59</v>
      </c>
    </row>
    <row r="200" spans="1:6" x14ac:dyDescent="0.2">
      <c r="A200" t="str">
        <f t="shared" si="3"/>
        <v>ГОСТ 3068-886,4</v>
      </c>
      <c r="B200" t="s">
        <v>103</v>
      </c>
      <c r="C200" s="117">
        <f>'7'!B71</f>
        <v>6.4</v>
      </c>
      <c r="E200" s="117">
        <f>'7'!D71</f>
        <v>37688.51</v>
      </c>
      <c r="F200" s="117">
        <f>'7'!E71</f>
        <v>47405.120000000003</v>
      </c>
    </row>
    <row r="201" spans="1:6" x14ac:dyDescent="0.2">
      <c r="A201" t="str">
        <f t="shared" si="3"/>
        <v>ГОСТ 3068-887,2</v>
      </c>
      <c r="B201" t="s">
        <v>103</v>
      </c>
      <c r="C201" s="117">
        <f>'7'!B72</f>
        <v>7.2</v>
      </c>
      <c r="E201" s="117">
        <f>'7'!D72</f>
        <v>44362.41</v>
      </c>
      <c r="F201" s="117">
        <f>'7'!E72</f>
        <v>53128.79</v>
      </c>
    </row>
    <row r="202" spans="1:6" x14ac:dyDescent="0.2">
      <c r="A202" t="str">
        <f t="shared" si="3"/>
        <v>ГОСТ 3068-888</v>
      </c>
      <c r="B202" t="s">
        <v>103</v>
      </c>
      <c r="C202" s="117">
        <f>'7'!B73</f>
        <v>8</v>
      </c>
      <c r="E202" s="117">
        <f>'7'!D73</f>
        <v>54482.33</v>
      </c>
      <c r="F202" s="117">
        <f>'7'!E73</f>
        <v>65276.3</v>
      </c>
    </row>
    <row r="203" spans="1:6" x14ac:dyDescent="0.2">
      <c r="A203" t="str">
        <f t="shared" si="3"/>
        <v>ГОСТ 3068-888,6</v>
      </c>
      <c r="B203" t="s">
        <v>103</v>
      </c>
      <c r="C203" s="117">
        <f>'7'!B74</f>
        <v>8.6</v>
      </c>
      <c r="E203" s="117">
        <f>'7'!D74</f>
        <v>55059.06</v>
      </c>
      <c r="F203" s="117">
        <f>'7'!E74</f>
        <v>65994.34</v>
      </c>
    </row>
    <row r="204" spans="1:6" x14ac:dyDescent="0.2">
      <c r="A204" t="str">
        <f t="shared" si="3"/>
        <v>ГОСТ 3068-8810,5</v>
      </c>
      <c r="B204" t="s">
        <v>103</v>
      </c>
      <c r="C204" s="117">
        <f>'7'!B75</f>
        <v>10.5</v>
      </c>
      <c r="E204" s="117">
        <f>'7'!D75</f>
        <v>83010.679999999993</v>
      </c>
      <c r="F204" s="117">
        <f>'7'!E75</f>
        <v>99525.26</v>
      </c>
    </row>
    <row r="205" spans="1:6" x14ac:dyDescent="0.2">
      <c r="A205" t="str">
        <f t="shared" si="3"/>
        <v>ГОСТ 3068-8813</v>
      </c>
      <c r="B205" t="s">
        <v>103</v>
      </c>
      <c r="C205" s="117">
        <f>'7'!B76</f>
        <v>13</v>
      </c>
      <c r="E205" s="117">
        <f>'7'!D76</f>
        <v>101636.01</v>
      </c>
      <c r="F205" s="117">
        <f>'7'!E76</f>
        <v>127934.48</v>
      </c>
    </row>
    <row r="206" spans="1:6" x14ac:dyDescent="0.2">
      <c r="A206" t="str">
        <f t="shared" si="3"/>
        <v>ГОСТ 3069-802,2</v>
      </c>
      <c r="B206" t="s">
        <v>64</v>
      </c>
      <c r="C206">
        <f>'8'!B6</f>
        <v>2.2000000000000002</v>
      </c>
      <c r="E206">
        <f>'8'!D6</f>
        <v>11717.47</v>
      </c>
      <c r="F206">
        <f>'8'!E6</f>
        <v>15188.81</v>
      </c>
    </row>
    <row r="207" spans="1:6" x14ac:dyDescent="0.2">
      <c r="A207" t="str">
        <f t="shared" si="3"/>
        <v>ГОСТ 3069-802,3</v>
      </c>
      <c r="B207" t="s">
        <v>64</v>
      </c>
      <c r="C207">
        <f>'8'!B7</f>
        <v>2.2999999999999998</v>
      </c>
      <c r="E207">
        <f>'8'!D7</f>
        <v>12024.9</v>
      </c>
      <c r="F207">
        <f>'8'!E7</f>
        <v>15652.55</v>
      </c>
    </row>
    <row r="208" spans="1:6" x14ac:dyDescent="0.2">
      <c r="A208" t="str">
        <f t="shared" si="3"/>
        <v>ГОСТ 3069-802,5</v>
      </c>
      <c r="B208" t="s">
        <v>64</v>
      </c>
      <c r="C208">
        <f>'8'!B8</f>
        <v>2.5</v>
      </c>
      <c r="E208">
        <f>'8'!D8</f>
        <v>12326.45</v>
      </c>
      <c r="F208">
        <f>'8'!E8</f>
        <v>15965.76</v>
      </c>
    </row>
    <row r="209" spans="1:6" x14ac:dyDescent="0.2">
      <c r="A209" t="str">
        <f t="shared" si="3"/>
        <v>ГОСТ 3069-802,7</v>
      </c>
      <c r="B209" t="s">
        <v>64</v>
      </c>
      <c r="C209">
        <f>'8'!B9</f>
        <v>2.7</v>
      </c>
      <c r="E209">
        <f>'8'!D9</f>
        <v>12627.98</v>
      </c>
      <c r="F209">
        <f>'8'!E9</f>
        <v>16429.48</v>
      </c>
    </row>
    <row r="210" spans="1:6" x14ac:dyDescent="0.2">
      <c r="A210" t="str">
        <f t="shared" si="3"/>
        <v>ГОСТ 3069-802,9</v>
      </c>
      <c r="B210" t="s">
        <v>64</v>
      </c>
      <c r="C210">
        <f>'8'!B10</f>
        <v>2.9</v>
      </c>
      <c r="E210">
        <f>'8'!D10</f>
        <v>13012.18</v>
      </c>
      <c r="F210">
        <f>'8'!E10</f>
        <v>16899.23</v>
      </c>
    </row>
    <row r="211" spans="1:6" x14ac:dyDescent="0.2">
      <c r="A211" t="str">
        <f t="shared" si="3"/>
        <v>ГОСТ 3069-803,3</v>
      </c>
      <c r="B211" t="s">
        <v>64</v>
      </c>
      <c r="C211">
        <f>'8'!B11</f>
        <v>3.3</v>
      </c>
      <c r="E211">
        <f>'8'!D11</f>
        <v>13774.89</v>
      </c>
      <c r="F211">
        <f>'8'!E11</f>
        <v>17904.97</v>
      </c>
    </row>
    <row r="212" spans="1:6" x14ac:dyDescent="0.2">
      <c r="A212" t="str">
        <f t="shared" si="3"/>
        <v>ГОСТ 3069-803,7</v>
      </c>
      <c r="B212" t="s">
        <v>64</v>
      </c>
      <c r="C212">
        <f>'8'!B12</f>
        <v>3.7</v>
      </c>
      <c r="E212">
        <f>'8'!D12</f>
        <v>14537.51</v>
      </c>
      <c r="F212">
        <f>'8'!E12</f>
        <v>19145.59</v>
      </c>
    </row>
    <row r="213" spans="1:6" x14ac:dyDescent="0.2">
      <c r="A213" t="str">
        <f t="shared" si="3"/>
        <v>ГОСТ 3069-804</v>
      </c>
      <c r="B213" t="s">
        <v>64</v>
      </c>
      <c r="C213">
        <f>'8'!B13</f>
        <v>4</v>
      </c>
      <c r="E213">
        <f>'8'!D13</f>
        <v>15069.61</v>
      </c>
      <c r="F213">
        <f>'8'!E13</f>
        <v>19922.52</v>
      </c>
    </row>
    <row r="214" spans="1:6" x14ac:dyDescent="0.2">
      <c r="A214" t="str">
        <f t="shared" si="3"/>
        <v>ГОСТ 3069-804,9</v>
      </c>
      <c r="B214" t="s">
        <v>64</v>
      </c>
      <c r="C214">
        <f>'8'!B14</f>
        <v>4.9000000000000004</v>
      </c>
      <c r="E214">
        <f>'8'!D14</f>
        <v>18024.38</v>
      </c>
      <c r="F214">
        <f>'8'!E14</f>
        <v>24175.33</v>
      </c>
    </row>
    <row r="215" spans="1:6" x14ac:dyDescent="0.2">
      <c r="A215" t="str">
        <f t="shared" si="3"/>
        <v>ГОСТ 3069-805,9</v>
      </c>
      <c r="B215" t="s">
        <v>64</v>
      </c>
      <c r="C215">
        <f>'8'!B15</f>
        <v>5.9</v>
      </c>
      <c r="E215">
        <f>'8'!D15</f>
        <v>21447.11</v>
      </c>
      <c r="F215">
        <f>'8'!E15</f>
        <v>27765.64</v>
      </c>
    </row>
    <row r="216" spans="1:6" x14ac:dyDescent="0.2">
      <c r="A216" t="str">
        <f t="shared" si="3"/>
        <v>ГОСТ 3069-806,8</v>
      </c>
      <c r="B216" t="s">
        <v>64</v>
      </c>
      <c r="C216">
        <f>'8'!B16</f>
        <v>6.8</v>
      </c>
      <c r="E216">
        <f>'8'!D16</f>
        <v>24755.33</v>
      </c>
      <c r="F216">
        <f>'8'!E16</f>
        <v>32068.02</v>
      </c>
    </row>
    <row r="217" spans="1:6" x14ac:dyDescent="0.2">
      <c r="A217" t="str">
        <f t="shared" si="3"/>
        <v>ГОСТ 3069-807,8</v>
      </c>
      <c r="B217" t="s">
        <v>64</v>
      </c>
      <c r="C217">
        <f>'8'!B17</f>
        <v>7.8</v>
      </c>
      <c r="E217">
        <f>'8'!D17</f>
        <v>31070.91</v>
      </c>
      <c r="F217">
        <f>'8'!E17</f>
        <v>40232.81</v>
      </c>
    </row>
    <row r="218" spans="1:6" x14ac:dyDescent="0.2">
      <c r="A218" t="str">
        <f t="shared" si="3"/>
        <v>ГОСТ 3069-808,7</v>
      </c>
      <c r="B218" t="s">
        <v>64</v>
      </c>
      <c r="C218">
        <f>'8'!B18</f>
        <v>8.6999999999999993</v>
      </c>
      <c r="E218">
        <f>'8'!D18</f>
        <v>36100.550000000003</v>
      </c>
      <c r="F218">
        <f>'8'!E18</f>
        <v>46758.45</v>
      </c>
    </row>
    <row r="219" spans="1:6" x14ac:dyDescent="0.2">
      <c r="A219" t="str">
        <f t="shared" si="3"/>
        <v>ГОСТ 3069-809,7</v>
      </c>
      <c r="B219" t="s">
        <v>64</v>
      </c>
      <c r="C219">
        <f>'8'!B19</f>
        <v>9.6999999999999993</v>
      </c>
      <c r="E219">
        <f>'8'!D19</f>
        <v>38925.67</v>
      </c>
      <c r="F219">
        <f>'8'!E19</f>
        <v>52936.39</v>
      </c>
    </row>
    <row r="220" spans="1:6" x14ac:dyDescent="0.2">
      <c r="A220" t="str">
        <f t="shared" si="3"/>
        <v>ГОСТ 3069-8010,5</v>
      </c>
      <c r="B220" t="s">
        <v>64</v>
      </c>
      <c r="C220">
        <f>'8'!B20</f>
        <v>10.5</v>
      </c>
      <c r="E220">
        <f>'8'!D20</f>
        <v>43182.78</v>
      </c>
      <c r="F220">
        <f>'8'!E20</f>
        <v>58715.93</v>
      </c>
    </row>
    <row r="221" spans="1:6" x14ac:dyDescent="0.2">
      <c r="A221" t="str">
        <f t="shared" si="3"/>
        <v>ГОСТ 3069-8011,5</v>
      </c>
      <c r="B221" t="s">
        <v>64</v>
      </c>
      <c r="C221">
        <f>'8'!B21</f>
        <v>11.5</v>
      </c>
      <c r="E221">
        <f>'8'!D21</f>
        <v>47124.09</v>
      </c>
      <c r="F221">
        <f>'8'!E21</f>
        <v>64091.24</v>
      </c>
    </row>
    <row r="222" spans="1:6" x14ac:dyDescent="0.2">
      <c r="A222" t="str">
        <f t="shared" si="3"/>
        <v>ГОСТ 3069-8012,5</v>
      </c>
      <c r="B222" t="s">
        <v>64</v>
      </c>
      <c r="C222">
        <f>'8'!B22</f>
        <v>12.5</v>
      </c>
      <c r="E222">
        <f>'8'!D22</f>
        <v>59432.93</v>
      </c>
      <c r="F222">
        <f>'8'!E22</f>
        <v>80791.44</v>
      </c>
    </row>
    <row r="223" spans="1:6" x14ac:dyDescent="0.2">
      <c r="A223" t="str">
        <f t="shared" si="3"/>
        <v>ГОСТ 3069-8013,5</v>
      </c>
      <c r="B223" t="s">
        <v>64</v>
      </c>
      <c r="C223">
        <f>'8'!B23</f>
        <v>13.5</v>
      </c>
      <c r="E223">
        <f>'8'!D23</f>
        <v>67349.87</v>
      </c>
      <c r="F223">
        <f>'8'!E23</f>
        <v>91567.79</v>
      </c>
    </row>
    <row r="224" spans="1:6" x14ac:dyDescent="0.2">
      <c r="A224" t="str">
        <f t="shared" si="3"/>
        <v>ГОСТ 3069-8014,5</v>
      </c>
      <c r="B224" t="s">
        <v>64</v>
      </c>
      <c r="C224">
        <f>'8'!B24</f>
        <v>14.5</v>
      </c>
      <c r="E224">
        <f>'8'!D24</f>
        <v>79418.850000000006</v>
      </c>
      <c r="F224">
        <f>'8'!E24</f>
        <v>107978.04</v>
      </c>
    </row>
    <row r="225" spans="1:6" x14ac:dyDescent="0.2">
      <c r="A225" t="str">
        <f t="shared" si="3"/>
        <v>ГОСТ 3069-8015,5</v>
      </c>
      <c r="B225" t="s">
        <v>64</v>
      </c>
      <c r="C225">
        <f>'8'!B25</f>
        <v>15.5</v>
      </c>
      <c r="E225">
        <f>'8'!D25</f>
        <v>89714.91</v>
      </c>
      <c r="F225">
        <f>'8'!E25</f>
        <v>121985.4</v>
      </c>
    </row>
    <row r="226" spans="1:6" x14ac:dyDescent="0.2">
      <c r="A226" t="str">
        <f t="shared" si="3"/>
        <v>ГОСТ 3069-8016,5</v>
      </c>
      <c r="B226" t="s">
        <v>64</v>
      </c>
      <c r="C226">
        <f>'8'!B26</f>
        <v>16.5</v>
      </c>
      <c r="E226">
        <f>'8'!D26</f>
        <v>96774.65</v>
      </c>
      <c r="F226">
        <f>'8'!E26</f>
        <v>131614.16</v>
      </c>
    </row>
    <row r="227" spans="1:6" x14ac:dyDescent="0.2">
      <c r="A227" t="str">
        <f t="shared" si="3"/>
        <v>ГОСТ 3069-8017,5</v>
      </c>
      <c r="B227" t="s">
        <v>64</v>
      </c>
      <c r="C227">
        <f>'8'!B27</f>
        <v>17.5</v>
      </c>
      <c r="E227">
        <f>'8'!D27</f>
        <v>107522.62</v>
      </c>
      <c r="F227">
        <f>'8'!E27</f>
        <v>146254.9</v>
      </c>
    </row>
    <row r="228" spans="1:6" x14ac:dyDescent="0.2">
      <c r="A228" t="str">
        <f t="shared" si="3"/>
        <v>ГОСТ 3069-8019,5</v>
      </c>
      <c r="B228" t="s">
        <v>64</v>
      </c>
      <c r="C228">
        <f>'8'!B28</f>
        <v>19.5</v>
      </c>
      <c r="E228">
        <f>'8'!D28</f>
        <v>131709.73000000001</v>
      </c>
      <c r="F228">
        <f>'8'!E28</f>
        <v>179136.61</v>
      </c>
    </row>
    <row r="229" spans="1:6" x14ac:dyDescent="0.2">
      <c r="A229" t="str">
        <f t="shared" si="3"/>
        <v>ГОСТ 3069-8021</v>
      </c>
      <c r="B229" t="s">
        <v>64</v>
      </c>
      <c r="C229">
        <f>'8'!B29</f>
        <v>21</v>
      </c>
      <c r="E229">
        <f>'8'!D29</f>
        <v>150499.04999999999</v>
      </c>
      <c r="F229">
        <f>'8'!E29</f>
        <v>204701.85</v>
      </c>
    </row>
    <row r="230" spans="1:6" x14ac:dyDescent="0.2">
      <c r="A230" t="str">
        <f t="shared" si="3"/>
        <v>ГОСТ 3069-8023</v>
      </c>
      <c r="B230" t="s">
        <v>64</v>
      </c>
      <c r="C230">
        <f>'8'!B30</f>
        <v>23</v>
      </c>
      <c r="E230">
        <f>'8'!D30</f>
        <v>177432.84</v>
      </c>
      <c r="F230">
        <f>'8'!E30</f>
        <v>241342.57</v>
      </c>
    </row>
    <row r="231" spans="1:6" x14ac:dyDescent="0.2">
      <c r="A231" t="str">
        <f t="shared" si="3"/>
        <v>ГОСТ 3069-8025,5</v>
      </c>
      <c r="B231" t="s">
        <v>64</v>
      </c>
      <c r="C231">
        <f>'8'!B31</f>
        <v>25.5</v>
      </c>
      <c r="E231">
        <f>'8'!D31</f>
        <v>223011.02</v>
      </c>
      <c r="F231">
        <f>'8'!E31</f>
        <v>303205</v>
      </c>
    </row>
    <row r="232" spans="1:6" x14ac:dyDescent="0.2">
      <c r="A232" t="str">
        <f t="shared" si="3"/>
        <v>ГОСТ 3069-8027</v>
      </c>
      <c r="B232" t="s">
        <v>64</v>
      </c>
      <c r="C232">
        <f>'8'!B32</f>
        <v>27</v>
      </c>
      <c r="E232">
        <f>'8'!D32</f>
        <v>240554.7</v>
      </c>
      <c r="F232">
        <f>'8'!E32</f>
        <v>327185.91999999998</v>
      </c>
    </row>
    <row r="233" spans="1:6" x14ac:dyDescent="0.2">
      <c r="A233" t="str">
        <f t="shared" si="3"/>
        <v>ГОСТ 3069-8029</v>
      </c>
      <c r="B233" t="s">
        <v>64</v>
      </c>
      <c r="C233">
        <f>'8'!B33</f>
        <v>29</v>
      </c>
      <c r="E233">
        <f>'8'!D33</f>
        <v>274852.07</v>
      </c>
      <c r="F233">
        <f>'8'!E33</f>
        <v>373666.18</v>
      </c>
    </row>
    <row r="234" spans="1:6" x14ac:dyDescent="0.2">
      <c r="A234" t="str">
        <f t="shared" si="3"/>
        <v>ГОСТ 3070-883,3</v>
      </c>
      <c r="B234" t="s">
        <v>66</v>
      </c>
      <c r="C234" s="117">
        <f>'8'!B40</f>
        <v>3.3</v>
      </c>
      <c r="E234" s="117">
        <f>'8'!D40</f>
        <v>20723.419999999998</v>
      </c>
      <c r="F234" s="117">
        <f>'8'!E40</f>
        <v>29018.400000000001</v>
      </c>
    </row>
    <row r="235" spans="1:6" x14ac:dyDescent="0.2">
      <c r="A235" t="str">
        <f t="shared" si="3"/>
        <v>ГОСТ 3070-883,6</v>
      </c>
      <c r="B235" t="s">
        <v>66</v>
      </c>
      <c r="C235" s="117">
        <f>'8'!B41</f>
        <v>3.6</v>
      </c>
      <c r="E235" s="117">
        <f>'8'!D41</f>
        <v>21620.47</v>
      </c>
      <c r="F235" s="117">
        <f>'8'!E41</f>
        <v>30274.53</v>
      </c>
    </row>
    <row r="236" spans="1:6" x14ac:dyDescent="0.2">
      <c r="A236" t="str">
        <f t="shared" si="3"/>
        <v>ГОСТ 3070-883,9</v>
      </c>
      <c r="B236" t="s">
        <v>66</v>
      </c>
      <c r="C236" s="117">
        <f>'8'!B42</f>
        <v>3.9</v>
      </c>
      <c r="E236" s="117">
        <f>'8'!D42</f>
        <v>22325.599999999999</v>
      </c>
      <c r="F236" s="117">
        <f>'8'!E42</f>
        <v>31261.97</v>
      </c>
    </row>
    <row r="237" spans="1:6" x14ac:dyDescent="0.2">
      <c r="A237" t="str">
        <f t="shared" si="3"/>
        <v>ГОСТ 3070-884,2</v>
      </c>
      <c r="B237" t="s">
        <v>66</v>
      </c>
      <c r="C237" s="117">
        <f>'8'!B43</f>
        <v>4.2</v>
      </c>
      <c r="E237" s="117">
        <f>'8'!D43</f>
        <v>23045.51</v>
      </c>
      <c r="F237" s="117">
        <f>'8'!E43</f>
        <v>32385.94</v>
      </c>
    </row>
    <row r="238" spans="1:6" x14ac:dyDescent="0.2">
      <c r="A238" t="str">
        <f t="shared" si="3"/>
        <v>ГОСТ 3070-884,5</v>
      </c>
      <c r="B238" t="s">
        <v>66</v>
      </c>
      <c r="C238" s="117">
        <f>'8'!B44</f>
        <v>4.5</v>
      </c>
      <c r="E238" s="117">
        <f>'8'!D44</f>
        <v>23930.3</v>
      </c>
      <c r="F238" s="117">
        <f>'8'!E44</f>
        <v>33630.1</v>
      </c>
    </row>
    <row r="239" spans="1:6" x14ac:dyDescent="0.2">
      <c r="A239" t="str">
        <f t="shared" si="3"/>
        <v>ГОСТ 3070-884,8</v>
      </c>
      <c r="B239" t="s">
        <v>66</v>
      </c>
      <c r="C239" s="117">
        <f>'8'!B45</f>
        <v>4.8</v>
      </c>
      <c r="E239" s="117">
        <f>'8'!D45</f>
        <v>24816.31</v>
      </c>
      <c r="F239" s="117">
        <f>'8'!E45</f>
        <v>34907.120000000003</v>
      </c>
    </row>
    <row r="240" spans="1:6" x14ac:dyDescent="0.2">
      <c r="A240" t="str">
        <f t="shared" si="3"/>
        <v>ГОСТ 3070-885,5</v>
      </c>
      <c r="B240" t="s">
        <v>66</v>
      </c>
      <c r="C240" s="117">
        <f>'8'!B46</f>
        <v>5.5</v>
      </c>
      <c r="E240" s="117">
        <f>'8'!D46</f>
        <v>26873.32</v>
      </c>
      <c r="F240" s="117">
        <f>'8'!E46</f>
        <v>37822.370000000003</v>
      </c>
    </row>
    <row r="241" spans="1:6" x14ac:dyDescent="0.2">
      <c r="A241" t="str">
        <f t="shared" si="3"/>
        <v>ГОСТ 3070-885,8</v>
      </c>
      <c r="B241" t="s">
        <v>66</v>
      </c>
      <c r="C241" s="117">
        <f>'8'!B47</f>
        <v>5.8</v>
      </c>
      <c r="E241" s="117">
        <f>'8'!D47</f>
        <v>29109.67</v>
      </c>
      <c r="F241" s="117">
        <f>'8'!E47</f>
        <v>41077.129999999997</v>
      </c>
    </row>
    <row r="242" spans="1:6" x14ac:dyDescent="0.2">
      <c r="A242" t="str">
        <f t="shared" si="3"/>
        <v>ГОСТ 3070-886,5</v>
      </c>
      <c r="B242" t="s">
        <v>66</v>
      </c>
      <c r="C242" s="117">
        <f>'8'!B48</f>
        <v>6.5</v>
      </c>
      <c r="E242" s="117">
        <f>'8'!D48</f>
        <v>32832.94</v>
      </c>
      <c r="F242" s="117">
        <f>'8'!E48</f>
        <v>43973.59</v>
      </c>
    </row>
    <row r="243" spans="1:6" x14ac:dyDescent="0.2">
      <c r="A243" t="str">
        <f t="shared" si="3"/>
        <v>ГОСТ 3070-888,1</v>
      </c>
      <c r="B243" t="s">
        <v>66</v>
      </c>
      <c r="C243" s="117">
        <f>'8'!B49</f>
        <v>8.1</v>
      </c>
      <c r="E243" s="117">
        <f>'8'!D49</f>
        <v>42914.65</v>
      </c>
      <c r="F243" s="117">
        <f>'8'!E49</f>
        <v>57637.75</v>
      </c>
    </row>
    <row r="244" spans="1:6" x14ac:dyDescent="0.2">
      <c r="A244" t="str">
        <f t="shared" si="3"/>
        <v>ГОСТ 3070-889,7</v>
      </c>
      <c r="B244" t="s">
        <v>66</v>
      </c>
      <c r="C244" s="117">
        <f>'8'!B50</f>
        <v>9.6999999999999993</v>
      </c>
      <c r="E244" s="117">
        <f>'8'!D50</f>
        <v>49658.400000000001</v>
      </c>
      <c r="F244" s="117">
        <f>'8'!E50</f>
        <v>65918.11</v>
      </c>
    </row>
    <row r="245" spans="1:6" x14ac:dyDescent="0.2">
      <c r="A245" t="str">
        <f t="shared" si="3"/>
        <v>ГОСТ 3070-8813</v>
      </c>
      <c r="B245" t="s">
        <v>66</v>
      </c>
      <c r="C245" s="117">
        <f>'8'!B51</f>
        <v>13</v>
      </c>
      <c r="E245" s="117">
        <f>'8'!D51</f>
        <v>72215.179999999993</v>
      </c>
      <c r="F245" s="117">
        <f>'8'!E51</f>
        <v>90811.51</v>
      </c>
    </row>
    <row r="246" spans="1:6" x14ac:dyDescent="0.2">
      <c r="A246" t="str">
        <f t="shared" si="3"/>
        <v>ГОСТ 3071-885</v>
      </c>
      <c r="B246" t="s">
        <v>68</v>
      </c>
      <c r="C246">
        <f>'8'!B58</f>
        <v>5</v>
      </c>
      <c r="E246">
        <f>'8'!D58</f>
        <v>45928.17</v>
      </c>
      <c r="F246">
        <f>'8'!E58</f>
        <v>57771.41</v>
      </c>
    </row>
    <row r="247" spans="1:6" x14ac:dyDescent="0.2">
      <c r="A247" t="str">
        <f t="shared" si="3"/>
        <v>ГОСТ 3071-885,4</v>
      </c>
      <c r="B247" t="s">
        <v>68</v>
      </c>
      <c r="C247">
        <f>'8'!B59</f>
        <v>5.4</v>
      </c>
      <c r="E247">
        <f>'8'!D59</f>
        <v>47850.6</v>
      </c>
      <c r="F247">
        <f>'8'!E59</f>
        <v>60189.63</v>
      </c>
    </row>
    <row r="248" spans="1:6" x14ac:dyDescent="0.2">
      <c r="A248" t="str">
        <f t="shared" si="3"/>
        <v>ГОСТ 3071-885,8</v>
      </c>
      <c r="B248" t="s">
        <v>68</v>
      </c>
      <c r="C248">
        <f>'8'!B60</f>
        <v>5.8</v>
      </c>
      <c r="E248">
        <f>'8'!D60</f>
        <v>49702.96</v>
      </c>
      <c r="F248">
        <f>'8'!E60</f>
        <v>62519.55</v>
      </c>
    </row>
    <row r="249" spans="1:6" x14ac:dyDescent="0.2">
      <c r="A249" t="str">
        <f t="shared" si="3"/>
        <v>ГОСТ 3071-886,3</v>
      </c>
      <c r="B249" t="s">
        <v>68</v>
      </c>
      <c r="C249">
        <f>'8'!B61</f>
        <v>6.3</v>
      </c>
      <c r="E249">
        <f>'8'!D61</f>
        <v>51786.29</v>
      </c>
      <c r="F249">
        <f>'8'!E61</f>
        <v>65140.09</v>
      </c>
    </row>
    <row r="250" spans="1:6" x14ac:dyDescent="0.2">
      <c r="A250" t="str">
        <f t="shared" si="3"/>
        <v>ГОСТ 3071-886,7</v>
      </c>
      <c r="B250" t="s">
        <v>68</v>
      </c>
      <c r="C250">
        <f>'8'!B62</f>
        <v>6.7</v>
      </c>
      <c r="E250">
        <f>'8'!D62</f>
        <v>53865.5</v>
      </c>
      <c r="F250">
        <f>'8'!E62</f>
        <v>67755.47</v>
      </c>
    </row>
    <row r="251" spans="1:6" x14ac:dyDescent="0.2">
      <c r="A251" t="str">
        <f t="shared" si="3"/>
        <v>ГОСТ 3071-887,6</v>
      </c>
      <c r="B251" t="s">
        <v>68</v>
      </c>
      <c r="C251">
        <f>'8'!B63</f>
        <v>7.6</v>
      </c>
      <c r="E251">
        <f>'8'!D63</f>
        <v>57695.839999999997</v>
      </c>
      <c r="F251">
        <f>'8'!E63</f>
        <v>72573.52</v>
      </c>
    </row>
    <row r="252" spans="1:6" x14ac:dyDescent="0.2">
      <c r="A252" t="str">
        <f t="shared" si="3"/>
        <v>ГОСТ 3071-888,5</v>
      </c>
      <c r="B252" t="s">
        <v>68</v>
      </c>
      <c r="C252">
        <f>'8'!B64</f>
        <v>8.5</v>
      </c>
      <c r="E252">
        <f>'8'!D64</f>
        <v>62891.46</v>
      </c>
      <c r="F252">
        <f>'8'!E64</f>
        <v>79108.899999999994</v>
      </c>
    </row>
    <row r="253" spans="1:6" x14ac:dyDescent="0.2">
      <c r="A253" t="str">
        <f t="shared" si="3"/>
        <v>ГОСТ 3071-889</v>
      </c>
      <c r="B253" t="s">
        <v>68</v>
      </c>
      <c r="C253">
        <f>'8'!B65</f>
        <v>9</v>
      </c>
      <c r="E253">
        <f>'8'!D65</f>
        <v>65796.05</v>
      </c>
      <c r="F253">
        <f>'8'!E65</f>
        <v>82762.5</v>
      </c>
    </row>
    <row r="254" spans="1:6" x14ac:dyDescent="0.2">
      <c r="A254" t="str">
        <f t="shared" si="3"/>
        <v>ГОСТ 3071-8811,5</v>
      </c>
      <c r="B254" t="s">
        <v>68</v>
      </c>
      <c r="C254">
        <f>'8'!B66</f>
        <v>11.5</v>
      </c>
      <c r="E254">
        <f>'8'!D66</f>
        <v>77145.16</v>
      </c>
      <c r="F254">
        <f>'8'!E66</f>
        <v>101890.09</v>
      </c>
    </row>
    <row r="255" spans="1:6" x14ac:dyDescent="0.2">
      <c r="A255" t="str">
        <f t="shared" si="3"/>
        <v>ГОСТ 3071-8813,5</v>
      </c>
      <c r="B255" t="s">
        <v>68</v>
      </c>
      <c r="C255">
        <f>'8'!B67</f>
        <v>13.5</v>
      </c>
      <c r="E255">
        <f>'8'!D67</f>
        <v>98962.03</v>
      </c>
      <c r="F255">
        <f>'8'!E67</f>
        <v>130704.93</v>
      </c>
    </row>
    <row r="256" spans="1:6" x14ac:dyDescent="0.2">
      <c r="A256" t="str">
        <f t="shared" si="3"/>
        <v>ГОСТ 3071-8815,5</v>
      </c>
      <c r="B256" t="s">
        <v>68</v>
      </c>
      <c r="C256">
        <f>'8'!B68</f>
        <v>15.5</v>
      </c>
      <c r="E256">
        <f>'8'!D68</f>
        <v>117424.47</v>
      </c>
      <c r="F256">
        <f>'8'!E68</f>
        <v>150571.99</v>
      </c>
    </row>
    <row r="257" spans="1:6" x14ac:dyDescent="0.2">
      <c r="A257" t="str">
        <f t="shared" si="3"/>
        <v>ГОСТ 3077-804,6</v>
      </c>
      <c r="B257" t="s">
        <v>179</v>
      </c>
      <c r="C257">
        <f>'9'!B6</f>
        <v>4.5999999999999996</v>
      </c>
      <c r="E257">
        <f>'9'!D6</f>
        <v>20110.36</v>
      </c>
      <c r="F257">
        <f>'9'!E6</f>
        <v>26549.03</v>
      </c>
    </row>
    <row r="258" spans="1:6" x14ac:dyDescent="0.2">
      <c r="A258" t="str">
        <f t="shared" si="3"/>
        <v>ГОСТ 3077-805,1</v>
      </c>
      <c r="B258" t="s">
        <v>179</v>
      </c>
      <c r="C258">
        <f>'9'!B7</f>
        <v>5.0999999999999996</v>
      </c>
      <c r="E258">
        <f>'9'!D7</f>
        <v>23063.81</v>
      </c>
      <c r="F258">
        <f>'9'!E7</f>
        <v>30464.959999999999</v>
      </c>
    </row>
    <row r="259" spans="1:6" x14ac:dyDescent="0.2">
      <c r="A259" t="str">
        <f t="shared" ref="A259:A322" si="4">B259&amp;C259</f>
        <v>ГОСТ 3077-805,7</v>
      </c>
      <c r="B259" t="s">
        <v>179</v>
      </c>
      <c r="C259">
        <f>'9'!B8</f>
        <v>5.7</v>
      </c>
      <c r="E259">
        <f>'9'!D8</f>
        <v>26354.9</v>
      </c>
      <c r="F259">
        <f>'9'!E8</f>
        <v>34797.07</v>
      </c>
    </row>
    <row r="260" spans="1:6" x14ac:dyDescent="0.2">
      <c r="A260" t="str">
        <f t="shared" si="4"/>
        <v>ГОСТ 3077-806,4</v>
      </c>
      <c r="B260" t="s">
        <v>179</v>
      </c>
      <c r="C260">
        <f>'9'!B9</f>
        <v>6.4</v>
      </c>
      <c r="E260">
        <f>'9'!D9</f>
        <v>29991.13</v>
      </c>
      <c r="F260">
        <f>'9'!E9</f>
        <v>39593.839999999997</v>
      </c>
    </row>
    <row r="261" spans="1:6" x14ac:dyDescent="0.2">
      <c r="A261" t="str">
        <f t="shared" si="4"/>
        <v>ГОСТ 3077-807,8</v>
      </c>
      <c r="B261" t="s">
        <v>179</v>
      </c>
      <c r="C261">
        <f>'9'!B10</f>
        <v>7.8</v>
      </c>
      <c r="E261">
        <f>'9'!D10</f>
        <v>36451.660000000003</v>
      </c>
      <c r="F261">
        <f>'9'!E10</f>
        <v>48138.3</v>
      </c>
    </row>
    <row r="262" spans="1:6" x14ac:dyDescent="0.2">
      <c r="A262" t="str">
        <f t="shared" si="4"/>
        <v>ГОСТ 3077-808,8</v>
      </c>
      <c r="B262" t="s">
        <v>179</v>
      </c>
      <c r="C262">
        <f>'9'!B11</f>
        <v>8.8000000000000007</v>
      </c>
      <c r="E262">
        <f>'9'!D11</f>
        <v>46100.44</v>
      </c>
      <c r="F262">
        <f>'9'!E11</f>
        <v>60890.29</v>
      </c>
    </row>
    <row r="263" spans="1:6" x14ac:dyDescent="0.2">
      <c r="A263" t="str">
        <f t="shared" si="4"/>
        <v>ГОСТ 3077-8010,5</v>
      </c>
      <c r="B263" t="s">
        <v>179</v>
      </c>
      <c r="C263">
        <f>'9'!B12</f>
        <v>10.5</v>
      </c>
      <c r="E263">
        <f>'9'!D12</f>
        <v>53996.84</v>
      </c>
      <c r="F263">
        <f>'9'!E12</f>
        <v>71289.34</v>
      </c>
    </row>
    <row r="264" spans="1:6" x14ac:dyDescent="0.2">
      <c r="A264" t="str">
        <f t="shared" si="4"/>
        <v>ГОСТ 3077-8011,5</v>
      </c>
      <c r="B264" t="s">
        <v>179</v>
      </c>
      <c r="C264">
        <f>'9'!B13</f>
        <v>11.5</v>
      </c>
      <c r="E264">
        <f>'9'!D13</f>
        <v>62659.98</v>
      </c>
      <c r="F264">
        <f>'9'!E13</f>
        <v>85183.96</v>
      </c>
    </row>
    <row r="265" spans="1:6" x14ac:dyDescent="0.2">
      <c r="A265" t="str">
        <f t="shared" si="4"/>
        <v>ГОСТ 3077-8012</v>
      </c>
      <c r="B265" t="s">
        <v>179</v>
      </c>
      <c r="C265">
        <f>'9'!B14</f>
        <v>12</v>
      </c>
      <c r="E265">
        <f>'9'!D14</f>
        <v>65541.05</v>
      </c>
      <c r="F265">
        <f>'9'!E14</f>
        <v>89118.31</v>
      </c>
    </row>
    <row r="266" spans="1:6" x14ac:dyDescent="0.2">
      <c r="A266" t="str">
        <f t="shared" si="4"/>
        <v>ГОСТ 3077-8013</v>
      </c>
      <c r="B266" t="s">
        <v>179</v>
      </c>
      <c r="C266">
        <f>'9'!B15</f>
        <v>13</v>
      </c>
      <c r="E266">
        <f>'9'!D15</f>
        <v>72999.48</v>
      </c>
      <c r="F266">
        <f>'9'!E15</f>
        <v>99248.42</v>
      </c>
    </row>
    <row r="267" spans="1:6" x14ac:dyDescent="0.2">
      <c r="A267" t="str">
        <f t="shared" si="4"/>
        <v>ГОСТ 3077-8014</v>
      </c>
      <c r="B267" t="s">
        <v>179</v>
      </c>
      <c r="C267">
        <f>'9'!B16</f>
        <v>14</v>
      </c>
      <c r="E267">
        <f>'9'!D16</f>
        <v>86718.87</v>
      </c>
      <c r="F267">
        <f>'9'!E16</f>
        <v>117895.05</v>
      </c>
    </row>
    <row r="268" spans="1:6" x14ac:dyDescent="0.2">
      <c r="A268" t="str">
        <f t="shared" si="4"/>
        <v>ГОСТ 3077-8015</v>
      </c>
      <c r="B268" t="s">
        <v>179</v>
      </c>
      <c r="C268">
        <f>'9'!B17</f>
        <v>15</v>
      </c>
      <c r="E268">
        <f>'9'!D17</f>
        <v>101905.76</v>
      </c>
      <c r="F268">
        <f>'9'!E17</f>
        <v>138623.31</v>
      </c>
    </row>
    <row r="269" spans="1:6" x14ac:dyDescent="0.2">
      <c r="A269" t="str">
        <f t="shared" si="4"/>
        <v>ГОСТ 3077-8016,5</v>
      </c>
      <c r="B269" t="s">
        <v>179</v>
      </c>
      <c r="C269">
        <f>'9'!B18</f>
        <v>16.5</v>
      </c>
      <c r="E269">
        <f>'9'!D18</f>
        <v>117705.77</v>
      </c>
      <c r="F269">
        <f>'9'!E18</f>
        <v>160149.26</v>
      </c>
    </row>
    <row r="270" spans="1:6" x14ac:dyDescent="0.2">
      <c r="A270" t="str">
        <f t="shared" si="4"/>
        <v>ГОСТ 3077-8017,5</v>
      </c>
      <c r="B270" t="s">
        <v>179</v>
      </c>
      <c r="C270">
        <f>'9'!B19</f>
        <v>17.5</v>
      </c>
      <c r="E270">
        <f>'9'!D19</f>
        <v>134113.18</v>
      </c>
      <c r="F270">
        <f>'9'!E19</f>
        <v>182415.08</v>
      </c>
    </row>
    <row r="271" spans="1:6" x14ac:dyDescent="0.2">
      <c r="A271" t="str">
        <f t="shared" si="4"/>
        <v>ГОСТ 3077-8019,5</v>
      </c>
      <c r="B271" t="s">
        <v>179</v>
      </c>
      <c r="C271">
        <f>'9'!B20</f>
        <v>19.5</v>
      </c>
      <c r="E271">
        <f>'9'!D20</f>
        <v>157608.76</v>
      </c>
      <c r="F271">
        <f>'9'!E20</f>
        <v>208109.78</v>
      </c>
    </row>
    <row r="272" spans="1:6" x14ac:dyDescent="0.2">
      <c r="A272" t="str">
        <f t="shared" si="4"/>
        <v>ГОСТ 3077-8020,5</v>
      </c>
      <c r="B272" t="s">
        <v>179</v>
      </c>
      <c r="C272">
        <f>'9'!B21</f>
        <v>20.5</v>
      </c>
      <c r="E272">
        <f>'9'!D21</f>
        <v>176584.18</v>
      </c>
      <c r="F272">
        <f>'9'!E21</f>
        <v>233204.63</v>
      </c>
    </row>
    <row r="273" spans="1:6" x14ac:dyDescent="0.2">
      <c r="A273" t="str">
        <f t="shared" si="4"/>
        <v>ГОСТ 3077-8022</v>
      </c>
      <c r="B273" t="s">
        <v>179</v>
      </c>
      <c r="C273">
        <f>'9'!B22</f>
        <v>22</v>
      </c>
      <c r="E273">
        <f>'9'!D22</f>
        <v>197683.79</v>
      </c>
      <c r="F273">
        <f>'9'!E22</f>
        <v>261077.8</v>
      </c>
    </row>
    <row r="274" spans="1:6" x14ac:dyDescent="0.2">
      <c r="A274" t="str">
        <f t="shared" si="4"/>
        <v>ГОСТ 3077-8023</v>
      </c>
      <c r="B274" t="s">
        <v>179</v>
      </c>
      <c r="C274">
        <f>'9'!B23</f>
        <v>23</v>
      </c>
      <c r="E274">
        <f>'9'!D23</f>
        <v>218326.1</v>
      </c>
      <c r="F274">
        <f>'9'!E23</f>
        <v>288336.12</v>
      </c>
    </row>
    <row r="275" spans="1:6" x14ac:dyDescent="0.2">
      <c r="A275" t="str">
        <f t="shared" si="4"/>
        <v>ГОСТ 3077-8025,5</v>
      </c>
      <c r="B275" t="s">
        <v>179</v>
      </c>
      <c r="C275">
        <f>'9'!B24</f>
        <v>25.5</v>
      </c>
      <c r="E275">
        <f>'9'!D24</f>
        <v>267516.3</v>
      </c>
      <c r="F275">
        <f>'9'!E24</f>
        <v>353060.35</v>
      </c>
    </row>
    <row r="276" spans="1:6" x14ac:dyDescent="0.2">
      <c r="A276" t="str">
        <f t="shared" si="4"/>
        <v>ГОСТ 3077-8028</v>
      </c>
      <c r="B276" t="s">
        <v>179</v>
      </c>
      <c r="C276">
        <f>'9'!B25</f>
        <v>28</v>
      </c>
      <c r="E276">
        <f>'9'!D25</f>
        <v>321717.40999999997</v>
      </c>
      <c r="F276">
        <f>'9'!E25</f>
        <v>424898.56</v>
      </c>
    </row>
    <row r="277" spans="1:6" x14ac:dyDescent="0.2">
      <c r="A277" t="str">
        <f t="shared" si="4"/>
        <v>ГОСТ 3077-8030,5</v>
      </c>
      <c r="B277" t="s">
        <v>179</v>
      </c>
      <c r="C277">
        <f>'9'!B26</f>
        <v>30.5</v>
      </c>
      <c r="E277">
        <f>'9'!D26</f>
        <v>379212.55</v>
      </c>
      <c r="F277">
        <f>'9'!E26</f>
        <v>500535.3</v>
      </c>
    </row>
    <row r="278" spans="1:6" x14ac:dyDescent="0.2">
      <c r="A278" t="str">
        <f t="shared" si="4"/>
        <v>ГОСТ 3077-8032,5</v>
      </c>
      <c r="B278" t="s">
        <v>179</v>
      </c>
      <c r="C278">
        <f>'9'!B27</f>
        <v>32.5</v>
      </c>
      <c r="E278">
        <f>'9'!D27</f>
        <v>432748.9</v>
      </c>
      <c r="F278">
        <f>'9'!E27</f>
        <v>571442.02</v>
      </c>
    </row>
    <row r="279" spans="1:6" x14ac:dyDescent="0.2">
      <c r="A279" t="str">
        <f t="shared" si="4"/>
        <v>ГОСТ 3077-8035</v>
      </c>
      <c r="B279" t="s">
        <v>179</v>
      </c>
      <c r="C279">
        <f>'9'!B28</f>
        <v>35</v>
      </c>
      <c r="E279">
        <f>'9'!D28</f>
        <v>499565.33</v>
      </c>
      <c r="F279">
        <f>'9'!E28</f>
        <v>659910.9</v>
      </c>
    </row>
    <row r="280" spans="1:6" x14ac:dyDescent="0.2">
      <c r="A280" t="str">
        <f t="shared" si="4"/>
        <v>ГОСТ 3077-8037</v>
      </c>
      <c r="B280" t="s">
        <v>179</v>
      </c>
      <c r="C280">
        <f>'9'!B29</f>
        <v>37</v>
      </c>
      <c r="E280">
        <f>'9'!D29</f>
        <v>542451.42000000004</v>
      </c>
      <c r="F280">
        <f>'9'!E29</f>
        <v>715896.47</v>
      </c>
    </row>
    <row r="281" spans="1:6" x14ac:dyDescent="0.2">
      <c r="A281" t="str">
        <f t="shared" si="4"/>
        <v>ГОСТ 3077-8039</v>
      </c>
      <c r="B281" t="s">
        <v>179</v>
      </c>
      <c r="C281">
        <f>'9'!B30</f>
        <v>39</v>
      </c>
      <c r="E281">
        <f>'9'!D30</f>
        <v>587468.68999999994</v>
      </c>
      <c r="F281">
        <f>'9'!E30</f>
        <v>775893.03</v>
      </c>
    </row>
    <row r="282" spans="1:6" x14ac:dyDescent="0.2">
      <c r="A282" t="str">
        <f t="shared" si="4"/>
        <v>ГОСТ 3077-8040</v>
      </c>
      <c r="B282" t="s">
        <v>179</v>
      </c>
      <c r="C282">
        <f>'9'!B31</f>
        <v>40</v>
      </c>
      <c r="E282">
        <f>'9'!D31</f>
        <v>617590.94999999995</v>
      </c>
      <c r="F282">
        <f>'9'!E31</f>
        <v>815428.82</v>
      </c>
    </row>
    <row r="283" spans="1:6" x14ac:dyDescent="0.2">
      <c r="A283" t="str">
        <f t="shared" si="4"/>
        <v>ГОСТ 3077-8041</v>
      </c>
      <c r="B283" t="s">
        <v>179</v>
      </c>
      <c r="C283">
        <f>'9'!B32</f>
        <v>41</v>
      </c>
      <c r="E283">
        <f>'9'!D32</f>
        <v>655002.38</v>
      </c>
      <c r="F283">
        <f>'9'!E32</f>
        <v>864825.74</v>
      </c>
    </row>
    <row r="284" spans="1:6" x14ac:dyDescent="0.2">
      <c r="A284" t="str">
        <f t="shared" si="4"/>
        <v>ГОСТ 3077-8043,5</v>
      </c>
      <c r="B284" t="s">
        <v>179</v>
      </c>
      <c r="C284">
        <f>'9'!B33</f>
        <v>43.5</v>
      </c>
      <c r="E284">
        <f>'9'!D33</f>
        <v>735128.5</v>
      </c>
      <c r="F284">
        <f>'9'!E33</f>
        <v>0</v>
      </c>
    </row>
    <row r="285" spans="1:6" x14ac:dyDescent="0.2">
      <c r="A285" t="str">
        <f t="shared" si="4"/>
        <v>ГОСТ 3077-8045</v>
      </c>
      <c r="B285" t="s">
        <v>179</v>
      </c>
      <c r="C285">
        <f>'9'!B34</f>
        <v>45</v>
      </c>
      <c r="E285">
        <f>'9'!D34</f>
        <v>772145.96</v>
      </c>
      <c r="F285">
        <f>'9'!E34</f>
        <v>1019494.12</v>
      </c>
    </row>
    <row r="286" spans="1:6" x14ac:dyDescent="0.2">
      <c r="A286" t="str">
        <f t="shared" si="4"/>
        <v>ГОСТ 3077-8046</v>
      </c>
      <c r="B286" t="s">
        <v>179</v>
      </c>
      <c r="C286">
        <f>'9'!B35</f>
        <v>46</v>
      </c>
      <c r="E286">
        <f>'9'!D35</f>
        <v>816107.18</v>
      </c>
      <c r="F286">
        <f>'9'!E35</f>
        <v>1077533.96</v>
      </c>
    </row>
    <row r="287" spans="1:6" x14ac:dyDescent="0.2">
      <c r="A287" t="str">
        <f t="shared" si="4"/>
        <v>ГОСТ 3079-805,8</v>
      </c>
      <c r="B287" t="s">
        <v>180</v>
      </c>
      <c r="C287" s="117">
        <f>'10'!B6</f>
        <v>5.8</v>
      </c>
      <c r="E287" s="117">
        <f>'10'!D6</f>
        <v>35739.730000000003</v>
      </c>
      <c r="F287" s="117">
        <f>'10'!E6</f>
        <v>42745.23</v>
      </c>
    </row>
    <row r="288" spans="1:6" x14ac:dyDescent="0.2">
      <c r="A288" t="str">
        <f t="shared" si="4"/>
        <v>ГОСТ 3079-806,5</v>
      </c>
      <c r="B288" t="s">
        <v>180</v>
      </c>
      <c r="C288" s="117">
        <f>'10'!B7</f>
        <v>6.5</v>
      </c>
      <c r="E288" s="117">
        <f>'10'!D7</f>
        <v>43215.29</v>
      </c>
      <c r="F288" s="117">
        <f>'10'!E7</f>
        <v>50009.05</v>
      </c>
    </row>
    <row r="289" spans="1:6" x14ac:dyDescent="0.2">
      <c r="A289" t="str">
        <f t="shared" si="4"/>
        <v>ГОСТ 3079-808,5</v>
      </c>
      <c r="B289" t="s">
        <v>180</v>
      </c>
      <c r="C289" s="117">
        <f>'10'!B8</f>
        <v>8.5</v>
      </c>
      <c r="E289" s="117">
        <f>'10'!D8</f>
        <v>54509.89</v>
      </c>
      <c r="F289" s="117">
        <f>'10'!E8</f>
        <v>74271.48</v>
      </c>
    </row>
    <row r="290" spans="1:6" x14ac:dyDescent="0.2">
      <c r="A290" t="str">
        <f t="shared" si="4"/>
        <v>ГОСТ 3079-8011,5</v>
      </c>
      <c r="B290" t="s">
        <v>180</v>
      </c>
      <c r="C290" s="117">
        <f>'10'!B9</f>
        <v>11.5</v>
      </c>
      <c r="E290" s="117">
        <f>'10'!D9</f>
        <v>69393.52</v>
      </c>
      <c r="F290" s="117">
        <f>'10'!E9</f>
        <v>95163.79</v>
      </c>
    </row>
    <row r="291" spans="1:6" x14ac:dyDescent="0.2">
      <c r="A291" t="str">
        <f t="shared" si="4"/>
        <v>ГОСТ 3079-8013,5</v>
      </c>
      <c r="B291" t="s">
        <v>180</v>
      </c>
      <c r="C291" s="117">
        <f>'10'!B10</f>
        <v>13.5</v>
      </c>
      <c r="E291" s="117">
        <f>'10'!D10</f>
        <v>89717.67</v>
      </c>
      <c r="F291" s="117">
        <f>'10'!E10</f>
        <v>122667.16</v>
      </c>
    </row>
    <row r="292" spans="1:6" x14ac:dyDescent="0.2">
      <c r="A292" t="str">
        <f t="shared" si="4"/>
        <v>ГОСТ 3079-8015,5</v>
      </c>
      <c r="B292" t="s">
        <v>180</v>
      </c>
      <c r="C292" s="117">
        <f>'10'!B11</f>
        <v>15.5</v>
      </c>
      <c r="E292" s="117">
        <f>'10'!D11</f>
        <v>113172.67</v>
      </c>
      <c r="F292" s="117">
        <f>'10'!E11</f>
        <v>153951.54</v>
      </c>
    </row>
    <row r="293" spans="1:6" x14ac:dyDescent="0.2">
      <c r="A293" t="str">
        <f t="shared" si="4"/>
        <v>ГОСТ 3079-8017</v>
      </c>
      <c r="B293" t="s">
        <v>180</v>
      </c>
      <c r="C293" s="117">
        <f>'10'!B12</f>
        <v>17</v>
      </c>
      <c r="E293" s="117">
        <f>'10'!D12</f>
        <v>142124.46</v>
      </c>
      <c r="F293" s="117">
        <f>'10'!E12</f>
        <v>193277.63</v>
      </c>
    </row>
    <row r="294" spans="1:6" x14ac:dyDescent="0.2">
      <c r="A294" t="str">
        <f t="shared" si="4"/>
        <v>ГОСТ 3079-8019,5</v>
      </c>
      <c r="B294" t="s">
        <v>180</v>
      </c>
      <c r="C294" s="117">
        <f>'10'!B13</f>
        <v>19.5</v>
      </c>
      <c r="E294" s="117">
        <f>'10'!D13</f>
        <v>167983.75</v>
      </c>
      <c r="F294" s="117">
        <f>'10'!E13</f>
        <v>228433.08</v>
      </c>
    </row>
    <row r="295" spans="1:6" x14ac:dyDescent="0.2">
      <c r="A295" t="str">
        <f t="shared" si="4"/>
        <v>ГОСТ 3079-8021,5</v>
      </c>
      <c r="B295" t="s">
        <v>180</v>
      </c>
      <c r="C295" s="117">
        <f>'10'!B14</f>
        <v>21.5</v>
      </c>
      <c r="E295" s="117">
        <f>'10'!D14</f>
        <v>196076.14</v>
      </c>
      <c r="F295" s="117">
        <f>'10'!E14</f>
        <v>266753.63</v>
      </c>
    </row>
    <row r="296" spans="1:6" x14ac:dyDescent="0.2">
      <c r="A296" t="str">
        <f t="shared" si="4"/>
        <v>ГОСТ 3079-8023</v>
      </c>
      <c r="B296" t="s">
        <v>180</v>
      </c>
      <c r="C296" s="117">
        <f>'10'!B15</f>
        <v>23</v>
      </c>
      <c r="E296" s="117">
        <f>'10'!D15</f>
        <v>221282.47</v>
      </c>
      <c r="F296" s="117">
        <f>'10'!E15</f>
        <v>301052.14</v>
      </c>
    </row>
    <row r="297" spans="1:6" x14ac:dyDescent="0.2">
      <c r="A297" t="str">
        <f t="shared" si="4"/>
        <v>ГОСТ 3079-8025</v>
      </c>
      <c r="B297" t="s">
        <v>180</v>
      </c>
      <c r="C297" s="117">
        <f>'10'!B16</f>
        <v>25</v>
      </c>
      <c r="E297" s="117">
        <f>'10'!D16</f>
        <v>254297.67</v>
      </c>
      <c r="F297" s="117">
        <f>'10'!E16</f>
        <v>349809.94</v>
      </c>
    </row>
    <row r="298" spans="1:6" x14ac:dyDescent="0.2">
      <c r="A298" t="str">
        <f t="shared" si="4"/>
        <v>ГОСТ 3079-8027</v>
      </c>
      <c r="B298" t="s">
        <v>180</v>
      </c>
      <c r="C298" s="117">
        <f>'10'!B17</f>
        <v>27</v>
      </c>
      <c r="E298" s="117">
        <f>'10'!D17</f>
        <v>298675.09000000003</v>
      </c>
      <c r="F298" s="117">
        <f>'10'!E17</f>
        <v>406295.62</v>
      </c>
    </row>
    <row r="299" spans="1:6" x14ac:dyDescent="0.2">
      <c r="A299" t="str">
        <f t="shared" si="4"/>
        <v>ГОСТ 3079-8029</v>
      </c>
      <c r="B299" t="s">
        <v>180</v>
      </c>
      <c r="C299" s="117">
        <f>'10'!B18</f>
        <v>29</v>
      </c>
      <c r="E299" s="117">
        <f>'10'!D18</f>
        <v>336636.32</v>
      </c>
      <c r="F299" s="117">
        <f>'10'!E18</f>
        <v>457958.14</v>
      </c>
    </row>
    <row r="300" spans="1:6" x14ac:dyDescent="0.2">
      <c r="A300" t="str">
        <f t="shared" si="4"/>
        <v>ГОСТ 3079-8030,5</v>
      </c>
      <c r="B300" t="s">
        <v>180</v>
      </c>
      <c r="C300" s="117">
        <f>'10'!B19</f>
        <v>30.5</v>
      </c>
      <c r="E300" s="117">
        <f>'10'!D19</f>
        <v>379243.53</v>
      </c>
      <c r="F300" s="117">
        <f>'10'!E19</f>
        <v>515669.73</v>
      </c>
    </row>
    <row r="301" spans="1:6" x14ac:dyDescent="0.2">
      <c r="A301" t="str">
        <f t="shared" si="4"/>
        <v>ГОСТ 3079-8033</v>
      </c>
      <c r="B301" t="s">
        <v>180</v>
      </c>
      <c r="C301" s="117">
        <f>'10'!B20</f>
        <v>33</v>
      </c>
      <c r="E301" s="117">
        <f>'10'!D20</f>
        <v>432390.43</v>
      </c>
      <c r="F301" s="117">
        <f>'10'!E20</f>
        <v>587903.85</v>
      </c>
    </row>
    <row r="302" spans="1:6" x14ac:dyDescent="0.2">
      <c r="A302" t="str">
        <f t="shared" si="4"/>
        <v>ГОСТ 3079-8035</v>
      </c>
      <c r="B302" t="s">
        <v>180</v>
      </c>
      <c r="C302" s="117">
        <f>'10'!B21</f>
        <v>35</v>
      </c>
      <c r="E302" s="117">
        <f>'10'!D21</f>
        <v>485127.48</v>
      </c>
      <c r="F302" s="117">
        <f>'10'!E21</f>
        <v>659903.37</v>
      </c>
    </row>
    <row r="303" spans="1:6" x14ac:dyDescent="0.2">
      <c r="A303" t="str">
        <f t="shared" si="4"/>
        <v>ГОСТ 3079-8039</v>
      </c>
      <c r="B303" t="s">
        <v>180</v>
      </c>
      <c r="C303" s="117">
        <f>'10'!B22</f>
        <v>39</v>
      </c>
      <c r="E303" s="117">
        <f>'10'!D22</f>
        <v>588324.96</v>
      </c>
      <c r="F303" s="117">
        <f>'10'!E22</f>
        <v>800469.8</v>
      </c>
    </row>
    <row r="304" spans="1:6" x14ac:dyDescent="0.2">
      <c r="A304" t="str">
        <f t="shared" si="4"/>
        <v>ГОСТ 3079-8043</v>
      </c>
      <c r="B304" t="s">
        <v>180</v>
      </c>
      <c r="C304" s="117">
        <f>'10'!B23</f>
        <v>43</v>
      </c>
      <c r="E304" s="117">
        <f>'10'!D23</f>
        <v>691695.57</v>
      </c>
      <c r="F304" s="117">
        <f>'10'!E23</f>
        <v>940913.39</v>
      </c>
    </row>
    <row r="305" spans="1:6" x14ac:dyDescent="0.2">
      <c r="A305" t="str">
        <f t="shared" si="4"/>
        <v>ГОСТ 3079-8047</v>
      </c>
      <c r="B305" t="s">
        <v>180</v>
      </c>
      <c r="C305" s="117">
        <f>'10'!B24</f>
        <v>47</v>
      </c>
      <c r="E305" s="117">
        <f>'10'!D24</f>
        <v>812368.64</v>
      </c>
      <c r="F305" s="117">
        <f>'10'!E24</f>
        <v>1104745.79</v>
      </c>
    </row>
    <row r="306" spans="1:6" x14ac:dyDescent="0.2">
      <c r="A306" t="str">
        <f t="shared" si="4"/>
        <v>ГОСТ 3079-8050</v>
      </c>
      <c r="B306" t="s">
        <v>180</v>
      </c>
      <c r="C306" s="117">
        <f>'10'!B25</f>
        <v>50</v>
      </c>
      <c r="E306" s="117">
        <f>'10'!D25</f>
        <v>942112.9</v>
      </c>
      <c r="F306" s="117">
        <f>'10'!E25</f>
        <v>1281610.2</v>
      </c>
    </row>
    <row r="307" spans="1:6" x14ac:dyDescent="0.2">
      <c r="A307" t="str">
        <f t="shared" si="4"/>
        <v>ГОСТ 3079-8052</v>
      </c>
      <c r="B307" t="s">
        <v>180</v>
      </c>
      <c r="C307" s="117">
        <f>'10'!B26</f>
        <v>52</v>
      </c>
      <c r="E307" s="117">
        <f>'10'!D26</f>
        <v>1022330.49</v>
      </c>
      <c r="F307" s="117">
        <f>'10'!E26</f>
        <v>1391030.88</v>
      </c>
    </row>
    <row r="308" spans="1:6" x14ac:dyDescent="0.2">
      <c r="A308" t="str">
        <f t="shared" si="4"/>
        <v>ГОСТ 3079-8054</v>
      </c>
      <c r="B308" t="s">
        <v>180</v>
      </c>
      <c r="C308" s="117">
        <f>'10'!B27</f>
        <v>54</v>
      </c>
      <c r="E308" s="117">
        <f>'10'!D27</f>
        <v>1090534.79</v>
      </c>
      <c r="F308" s="117">
        <f>'10'!E27</f>
        <v>1483096.77</v>
      </c>
    </row>
    <row r="309" spans="1:6" x14ac:dyDescent="0.2">
      <c r="A309" t="str">
        <f t="shared" si="4"/>
        <v>ГОСТ 3079-8056</v>
      </c>
      <c r="B309" t="s">
        <v>180</v>
      </c>
      <c r="C309" s="117">
        <f>'10'!B28</f>
        <v>56</v>
      </c>
      <c r="E309" s="117">
        <f>'10'!D28</f>
        <v>1167810.23</v>
      </c>
      <c r="F309" s="117">
        <f>'10'!E28</f>
        <v>1588951.84</v>
      </c>
    </row>
    <row r="310" spans="1:6" x14ac:dyDescent="0.2">
      <c r="A310" t="str">
        <f t="shared" si="4"/>
        <v>ГОСТ 3079-8058</v>
      </c>
      <c r="B310" t="s">
        <v>180</v>
      </c>
      <c r="C310" s="117">
        <f>'10'!B29</f>
        <v>58</v>
      </c>
      <c r="E310" s="117">
        <f>'10'!D29</f>
        <v>1228748.46</v>
      </c>
      <c r="F310" s="117">
        <f>'10'!E29</f>
        <v>1670377.42</v>
      </c>
    </row>
    <row r="311" spans="1:6" x14ac:dyDescent="0.2">
      <c r="A311" t="str">
        <f t="shared" si="4"/>
        <v>ГОСТ 3079-8066,5</v>
      </c>
      <c r="B311" t="s">
        <v>180</v>
      </c>
      <c r="C311" s="117">
        <f>'10'!B30</f>
        <v>66.5</v>
      </c>
      <c r="E311" s="117">
        <f>'10'!D30</f>
        <v>1544629.72</v>
      </c>
      <c r="F311" s="117">
        <f>'10'!E30</f>
        <v>2097035.25</v>
      </c>
    </row>
    <row r="312" spans="1:6" x14ac:dyDescent="0.2">
      <c r="A312" t="str">
        <f t="shared" si="4"/>
        <v>ГОСТ 3081-806,4</v>
      </c>
      <c r="B312" t="s">
        <v>181</v>
      </c>
      <c r="C312">
        <f>'11'!B6</f>
        <v>6.4</v>
      </c>
      <c r="E312">
        <f>'11'!D6</f>
        <v>37141.86</v>
      </c>
      <c r="F312">
        <f>'11'!E6</f>
        <v>49032.03</v>
      </c>
    </row>
    <row r="313" spans="1:6" x14ac:dyDescent="0.2">
      <c r="A313" t="str">
        <f t="shared" si="4"/>
        <v>ГОСТ 3081-807,7</v>
      </c>
      <c r="B313" t="s">
        <v>181</v>
      </c>
      <c r="C313">
        <f>'11'!B7</f>
        <v>7.7</v>
      </c>
      <c r="E313">
        <f>'11'!D7</f>
        <v>43256.480000000003</v>
      </c>
      <c r="F313">
        <f>'11'!E7</f>
        <v>57118.61</v>
      </c>
    </row>
    <row r="314" spans="1:6" x14ac:dyDescent="0.2">
      <c r="A314" t="str">
        <f t="shared" si="4"/>
        <v>ГОСТ 3081-808,6</v>
      </c>
      <c r="B314" t="s">
        <v>181</v>
      </c>
      <c r="C314">
        <f>'11'!B8</f>
        <v>8.6</v>
      </c>
      <c r="E314">
        <f>'11'!D8</f>
        <v>51883.35</v>
      </c>
      <c r="F314">
        <f>'11'!E8</f>
        <v>68516.47</v>
      </c>
    </row>
    <row r="315" spans="1:6" x14ac:dyDescent="0.2">
      <c r="A315" t="str">
        <f t="shared" si="4"/>
        <v>ГОСТ 3081-8010</v>
      </c>
      <c r="B315" t="s">
        <v>181</v>
      </c>
      <c r="C315">
        <f>'11'!B9</f>
        <v>10</v>
      </c>
      <c r="E315">
        <f>'11'!D9</f>
        <v>63643.49</v>
      </c>
      <c r="F315">
        <f>'11'!E9</f>
        <v>84019.22</v>
      </c>
    </row>
    <row r="316" spans="1:6" x14ac:dyDescent="0.2">
      <c r="A316" t="str">
        <f t="shared" si="4"/>
        <v>ГОСТ 3081-8011,5</v>
      </c>
      <c r="B316" t="s">
        <v>181</v>
      </c>
      <c r="C316">
        <f>'11'!B10</f>
        <v>11.5</v>
      </c>
      <c r="E316">
        <f>'11'!D10</f>
        <v>71794.14</v>
      </c>
      <c r="F316">
        <f>'11'!E10</f>
        <v>94750.82</v>
      </c>
    </row>
    <row r="317" spans="1:6" x14ac:dyDescent="0.2">
      <c r="A317" t="str">
        <f t="shared" si="4"/>
        <v>ГОСТ 3081-8012,5</v>
      </c>
      <c r="B317" t="s">
        <v>181</v>
      </c>
      <c r="C317">
        <f>'11'!B11</f>
        <v>12.5</v>
      </c>
      <c r="E317">
        <f>'11'!D11</f>
        <v>85599.32</v>
      </c>
      <c r="F317">
        <f>'11'!E11</f>
        <v>112998.19</v>
      </c>
    </row>
    <row r="318" spans="1:6" x14ac:dyDescent="0.2">
      <c r="A318" t="str">
        <f t="shared" si="4"/>
        <v>ГОСТ 3081-8014</v>
      </c>
      <c r="B318" t="s">
        <v>181</v>
      </c>
      <c r="C318">
        <f>'11'!B12</f>
        <v>14</v>
      </c>
      <c r="E318">
        <f>'11'!D12</f>
        <v>101598.72</v>
      </c>
      <c r="F318">
        <f>'11'!E12</f>
        <v>134092.21</v>
      </c>
    </row>
    <row r="319" spans="1:6" x14ac:dyDescent="0.2">
      <c r="A319" t="str">
        <f t="shared" si="4"/>
        <v>ГОСТ 3081-8015</v>
      </c>
      <c r="B319" t="s">
        <v>181</v>
      </c>
      <c r="C319">
        <f>'11'!B13</f>
        <v>15</v>
      </c>
      <c r="E319">
        <f>'11'!D13</f>
        <v>115104.81</v>
      </c>
      <c r="F319">
        <f>'11'!E13</f>
        <v>152046.84</v>
      </c>
    </row>
    <row r="320" spans="1:6" x14ac:dyDescent="0.2">
      <c r="A320" t="str">
        <f t="shared" si="4"/>
        <v>ГОСТ 3081-8016,5</v>
      </c>
      <c r="B320" t="s">
        <v>181</v>
      </c>
      <c r="C320">
        <f>'11'!B14</f>
        <v>16.5</v>
      </c>
      <c r="E320">
        <f>'11'!D14</f>
        <v>131036.75</v>
      </c>
      <c r="F320">
        <f>'11'!E14</f>
        <v>172966.65</v>
      </c>
    </row>
    <row r="321" spans="1:6" x14ac:dyDescent="0.2">
      <c r="A321" t="str">
        <f t="shared" si="4"/>
        <v>ГОСТ 3081-8017,5</v>
      </c>
      <c r="B321" t="s">
        <v>181</v>
      </c>
      <c r="C321">
        <f>'11'!B15</f>
        <v>17.5</v>
      </c>
      <c r="E321">
        <f>'11'!D15</f>
        <v>144254.9</v>
      </c>
      <c r="F321">
        <f>'11'!E15</f>
        <v>190494.85</v>
      </c>
    </row>
    <row r="322" spans="1:6" x14ac:dyDescent="0.2">
      <c r="A322" t="str">
        <f t="shared" si="4"/>
        <v>ГОСТ 3081-8019</v>
      </c>
      <c r="B322" t="s">
        <v>181</v>
      </c>
      <c r="C322">
        <f>'11'!B16</f>
        <v>19</v>
      </c>
      <c r="E322">
        <f>'11'!D16</f>
        <v>166776.34</v>
      </c>
      <c r="F322">
        <f>'11'!E16</f>
        <v>220232.26</v>
      </c>
    </row>
    <row r="323" spans="1:6" x14ac:dyDescent="0.2">
      <c r="A323" t="str">
        <f t="shared" ref="A323:A386" si="5">B323&amp;C323</f>
        <v>ГОСТ 3081-8020,5</v>
      </c>
      <c r="B323" t="s">
        <v>181</v>
      </c>
      <c r="C323">
        <f>'11'!B17</f>
        <v>20.5</v>
      </c>
      <c r="E323">
        <f>'11'!D17</f>
        <v>189011.43</v>
      </c>
      <c r="F323">
        <f>'11'!E17</f>
        <v>249673.13</v>
      </c>
    </row>
    <row r="324" spans="1:6" x14ac:dyDescent="0.2">
      <c r="A324" t="str">
        <f t="shared" si="5"/>
        <v>ГОСТ 3081-8021,5</v>
      </c>
      <c r="B324" t="s">
        <v>181</v>
      </c>
      <c r="C324">
        <f>'11'!B18</f>
        <v>21.5</v>
      </c>
      <c r="E324">
        <f>'11'!D18</f>
        <v>208579.57</v>
      </c>
      <c r="F324">
        <f>'11'!E18</f>
        <v>275327.59000000003</v>
      </c>
    </row>
    <row r="325" spans="1:6" x14ac:dyDescent="0.2">
      <c r="A325" t="str">
        <f t="shared" si="5"/>
        <v>ГОСТ 3081-8022,5</v>
      </c>
      <c r="B325" t="s">
        <v>181</v>
      </c>
      <c r="C325">
        <f>'11'!B19</f>
        <v>22.5</v>
      </c>
      <c r="E325">
        <f>'11'!D19</f>
        <v>220917.36</v>
      </c>
      <c r="F325">
        <f>'11'!E19</f>
        <v>291578.89</v>
      </c>
    </row>
    <row r="326" spans="1:6" x14ac:dyDescent="0.2">
      <c r="A326" t="str">
        <f t="shared" si="5"/>
        <v>ГОСТ 3081-8025</v>
      </c>
      <c r="B326" t="s">
        <v>181</v>
      </c>
      <c r="C326">
        <f>'11'!B20</f>
        <v>25</v>
      </c>
      <c r="E326">
        <f>'11'!D20</f>
        <v>266583.63</v>
      </c>
      <c r="F326">
        <f>'11'!E20</f>
        <v>352008.47</v>
      </c>
    </row>
    <row r="327" spans="1:6" x14ac:dyDescent="0.2">
      <c r="A327" t="str">
        <f t="shared" si="5"/>
        <v>ГОСТ 3081-8027,5</v>
      </c>
      <c r="B327" t="s">
        <v>181</v>
      </c>
      <c r="C327">
        <f>'11'!B21</f>
        <v>27.5</v>
      </c>
      <c r="E327">
        <f>'11'!D21</f>
        <v>315847.12</v>
      </c>
      <c r="F327">
        <f>'11'!E21</f>
        <v>416886</v>
      </c>
    </row>
    <row r="328" spans="1:6" x14ac:dyDescent="0.2">
      <c r="A328" t="str">
        <f t="shared" si="5"/>
        <v>ГОСТ 3081-8029,5</v>
      </c>
      <c r="B328" t="s">
        <v>181</v>
      </c>
      <c r="C328">
        <f>'11'!B22</f>
        <v>29.5</v>
      </c>
      <c r="E328">
        <f>'11'!D22</f>
        <v>365084.26</v>
      </c>
      <c r="F328">
        <f>'11'!E22</f>
        <v>496574.14</v>
      </c>
    </row>
    <row r="329" spans="1:6" x14ac:dyDescent="0.2">
      <c r="A329" t="str">
        <f t="shared" si="5"/>
        <v>ГОСТ 3081-8031,5</v>
      </c>
      <c r="B329" t="s">
        <v>181</v>
      </c>
      <c r="C329">
        <f>'11'!B23</f>
        <v>31.5</v>
      </c>
      <c r="E329">
        <f>'11'!D23</f>
        <v>424722.37</v>
      </c>
      <c r="F329">
        <f>'11'!E23</f>
        <v>577859.81000000006</v>
      </c>
    </row>
    <row r="330" spans="1:6" x14ac:dyDescent="0.2">
      <c r="A330" t="str">
        <f t="shared" si="5"/>
        <v>ГОСТ 3081-8034</v>
      </c>
      <c r="B330" t="s">
        <v>181</v>
      </c>
      <c r="C330">
        <f>'11'!B24</f>
        <v>34</v>
      </c>
      <c r="E330">
        <f>'11'!D24</f>
        <v>491649.35</v>
      </c>
      <c r="F330">
        <f>'11'!E24</f>
        <v>668608.34</v>
      </c>
    </row>
    <row r="331" spans="1:6" x14ac:dyDescent="0.2">
      <c r="A331" t="str">
        <f t="shared" si="5"/>
        <v>ГОСТ 3081-8035,5</v>
      </c>
      <c r="B331" t="s">
        <v>181</v>
      </c>
      <c r="C331">
        <f>'11'!B25</f>
        <v>35.5</v>
      </c>
      <c r="E331">
        <f>'11'!D25</f>
        <v>538226.04</v>
      </c>
      <c r="F331">
        <f>'11'!E25</f>
        <v>732333.51</v>
      </c>
    </row>
    <row r="332" spans="1:6" x14ac:dyDescent="0.2">
      <c r="A332" t="str">
        <f t="shared" si="5"/>
        <v>ГОСТ 3081-8038</v>
      </c>
      <c r="B332" t="s">
        <v>181</v>
      </c>
      <c r="C332">
        <f>'11'!B26</f>
        <v>38</v>
      </c>
      <c r="E332">
        <f>'11'!D26</f>
        <v>589373.77</v>
      </c>
      <c r="F332">
        <f>'11'!E26</f>
        <v>801766.85</v>
      </c>
    </row>
    <row r="333" spans="1:6" x14ac:dyDescent="0.2">
      <c r="A333" t="str">
        <f t="shared" si="5"/>
        <v>ГОСТ 3081-8040,5</v>
      </c>
      <c r="B333" t="s">
        <v>181</v>
      </c>
      <c r="C333">
        <f>'11'!B27</f>
        <v>40.5</v>
      </c>
      <c r="E333">
        <f>'11'!D27</f>
        <v>662865.69999999995</v>
      </c>
      <c r="F333">
        <f>'11'!E27</f>
        <v>0</v>
      </c>
    </row>
    <row r="334" spans="1:6" x14ac:dyDescent="0.2">
      <c r="A334" t="str">
        <f t="shared" si="5"/>
        <v>ГОСТ 3083-8011,5</v>
      </c>
      <c r="B334" t="s">
        <v>76</v>
      </c>
      <c r="C334" s="117">
        <f>'11'!B34</f>
        <v>11.5</v>
      </c>
      <c r="E334" s="117">
        <f>'11'!D34</f>
        <v>107364.07</v>
      </c>
      <c r="F334" s="117">
        <f>'11'!E34</f>
        <v>146086.39999999999</v>
      </c>
    </row>
    <row r="335" spans="1:6" x14ac:dyDescent="0.2">
      <c r="A335" t="str">
        <f t="shared" si="5"/>
        <v>ГОСТ 3083-8013,5</v>
      </c>
      <c r="B335" t="s">
        <v>76</v>
      </c>
      <c r="C335" s="117">
        <f>'11'!B35</f>
        <v>13.5</v>
      </c>
      <c r="E335" s="117">
        <f>'11'!D35</f>
        <v>130018.72</v>
      </c>
      <c r="F335" s="117">
        <f>'11'!E35</f>
        <v>176908.94</v>
      </c>
    </row>
    <row r="336" spans="1:6" x14ac:dyDescent="0.2">
      <c r="A336" t="str">
        <f t="shared" si="5"/>
        <v>ГОСТ 3083-8015</v>
      </c>
      <c r="B336" t="s">
        <v>76</v>
      </c>
      <c r="C336" s="117">
        <f>'11'!B36</f>
        <v>15</v>
      </c>
      <c r="E336" s="117">
        <f>'11'!D36</f>
        <v>170322.05</v>
      </c>
      <c r="F336" s="117">
        <f>'11'!E36</f>
        <v>231751.42</v>
      </c>
    </row>
    <row r="337" spans="1:6" x14ac:dyDescent="0.2">
      <c r="A337" t="str">
        <f t="shared" si="5"/>
        <v>ГОСТ 3083-8017</v>
      </c>
      <c r="B337" t="s">
        <v>76</v>
      </c>
      <c r="C337" s="117">
        <f>'11'!B37</f>
        <v>17</v>
      </c>
      <c r="E337" s="117">
        <f>'11'!D37</f>
        <v>193373.89</v>
      </c>
      <c r="F337" s="117">
        <f>'11'!E37</f>
        <v>263115.67</v>
      </c>
    </row>
    <row r="338" spans="1:6" x14ac:dyDescent="0.2">
      <c r="A338" t="str">
        <f t="shared" si="5"/>
        <v>ГОСТ 3083-8019</v>
      </c>
      <c r="B338" t="s">
        <v>76</v>
      </c>
      <c r="C338" s="117">
        <f>'11'!B38</f>
        <v>19</v>
      </c>
      <c r="E338" s="117">
        <f>'11'!D38</f>
        <v>218694.87</v>
      </c>
      <c r="F338" s="117">
        <f>'11'!E38</f>
        <v>297567.43</v>
      </c>
    </row>
    <row r="339" spans="1:6" x14ac:dyDescent="0.2">
      <c r="A339" t="str">
        <f t="shared" si="5"/>
        <v>ГОСТ 3083-8021</v>
      </c>
      <c r="B339" t="s">
        <v>76</v>
      </c>
      <c r="C339" s="117">
        <f>'11'!B39</f>
        <v>21</v>
      </c>
      <c r="E339" s="117">
        <f>'11'!D39</f>
        <v>257480.04</v>
      </c>
      <c r="F339" s="117">
        <f>'11'!E39</f>
        <v>350029.09</v>
      </c>
    </row>
    <row r="340" spans="1:6" x14ac:dyDescent="0.2">
      <c r="A340" t="str">
        <f t="shared" si="5"/>
        <v>ГОСТ 3083-8023</v>
      </c>
      <c r="B340" t="s">
        <v>76</v>
      </c>
      <c r="C340" s="117">
        <f>'11'!B40</f>
        <v>23</v>
      </c>
      <c r="E340" s="117">
        <f>'11'!D40</f>
        <v>311078.59999999998</v>
      </c>
      <c r="F340" s="117">
        <f>'11'!E40</f>
        <v>423271.78</v>
      </c>
    </row>
    <row r="341" spans="1:6" x14ac:dyDescent="0.2">
      <c r="A341" t="str">
        <f t="shared" si="5"/>
        <v>ГОСТ 3083-8025</v>
      </c>
      <c r="B341" t="s">
        <v>76</v>
      </c>
      <c r="C341" s="117">
        <f>'11'!B41</f>
        <v>25</v>
      </c>
      <c r="E341" s="117">
        <f>'11'!D41</f>
        <v>357607.84</v>
      </c>
      <c r="F341" s="117">
        <f>'11'!E41</f>
        <v>486579.56</v>
      </c>
    </row>
    <row r="342" spans="1:6" x14ac:dyDescent="0.2">
      <c r="A342" t="str">
        <f t="shared" si="5"/>
        <v>ГОСТ 3083-8026,5</v>
      </c>
      <c r="B342" t="s">
        <v>76</v>
      </c>
      <c r="C342" s="117">
        <f>'11'!B42</f>
        <v>26.5</v>
      </c>
      <c r="E342" s="117">
        <f>'11'!D42</f>
        <v>369494.08</v>
      </c>
      <c r="F342" s="117">
        <f>'11'!E42</f>
        <v>502754.77</v>
      </c>
    </row>
    <row r="343" spans="1:6" x14ac:dyDescent="0.2">
      <c r="A343" t="str">
        <f t="shared" si="5"/>
        <v>ГОСТ 3083-8028,5</v>
      </c>
      <c r="B343" t="s">
        <v>76</v>
      </c>
      <c r="C343" s="117">
        <f>'11'!B43</f>
        <v>28.5</v>
      </c>
      <c r="E343" s="117">
        <f>'11'!D43</f>
        <v>440890</v>
      </c>
      <c r="F343" s="117">
        <f>'11'!E43</f>
        <v>599341.42000000004</v>
      </c>
    </row>
    <row r="344" spans="1:6" x14ac:dyDescent="0.2">
      <c r="A344" t="str">
        <f t="shared" si="5"/>
        <v>ГОСТ 3083-8030,5</v>
      </c>
      <c r="B344" t="s">
        <v>76</v>
      </c>
      <c r="C344" s="117">
        <f>'11'!B44</f>
        <v>30.5</v>
      </c>
      <c r="E344" s="117">
        <f>'11'!D44</f>
        <v>501399.69</v>
      </c>
      <c r="F344" s="117">
        <f>'11'!E44</f>
        <v>682230.19</v>
      </c>
    </row>
    <row r="345" spans="1:6" x14ac:dyDescent="0.2">
      <c r="A345" t="str">
        <f t="shared" si="5"/>
        <v>ГОСТ 3083-8032,5</v>
      </c>
      <c r="B345" t="s">
        <v>76</v>
      </c>
      <c r="C345" s="117">
        <f>'11'!B45</f>
        <v>32.5</v>
      </c>
      <c r="E345" s="117">
        <f>'11'!D45</f>
        <v>513939.07</v>
      </c>
      <c r="F345" s="117">
        <f>'11'!E45</f>
        <v>699293.03</v>
      </c>
    </row>
    <row r="346" spans="1:6" x14ac:dyDescent="0.2">
      <c r="A346" t="str">
        <f t="shared" si="5"/>
        <v>ГОСТ 3083-8034,5</v>
      </c>
      <c r="B346" t="s">
        <v>76</v>
      </c>
      <c r="C346" s="117">
        <f>'11'!B46</f>
        <v>34.5</v>
      </c>
      <c r="E346" s="117">
        <f>'11'!D46</f>
        <v>584159.72</v>
      </c>
      <c r="F346" s="117">
        <f>'11'!E46</f>
        <v>794838.79</v>
      </c>
    </row>
    <row r="347" spans="1:6" x14ac:dyDescent="0.2">
      <c r="A347" t="str">
        <f t="shared" si="5"/>
        <v>ГОСТ 3083-8038</v>
      </c>
      <c r="B347" t="s">
        <v>76</v>
      </c>
      <c r="C347" s="117">
        <f>'11'!B47</f>
        <v>38</v>
      </c>
      <c r="E347" s="117">
        <f>'11'!D47</f>
        <v>686630.73</v>
      </c>
      <c r="F347" s="117">
        <f>'11'!E47</f>
        <v>934267.25</v>
      </c>
    </row>
    <row r="348" spans="1:6" x14ac:dyDescent="0.2">
      <c r="A348" t="str">
        <f t="shared" si="5"/>
        <v>ГОСТ 3083-8042</v>
      </c>
      <c r="B348" t="s">
        <v>76</v>
      </c>
      <c r="C348" s="117">
        <f>'11'!B48</f>
        <v>42</v>
      </c>
      <c r="E348" s="117">
        <f>'11'!D48</f>
        <v>845155.04</v>
      </c>
      <c r="F348" s="117">
        <f>'11'!E48</f>
        <v>1149962.49</v>
      </c>
    </row>
    <row r="349" spans="1:6" x14ac:dyDescent="0.2">
      <c r="A349" t="str">
        <f t="shared" si="5"/>
        <v>ГОСТ 3083-8046</v>
      </c>
      <c r="B349" t="s">
        <v>76</v>
      </c>
      <c r="C349" s="117">
        <f>'11'!B49</f>
        <v>46</v>
      </c>
      <c r="E349" s="117">
        <f>'11'!D49</f>
        <v>1030032.67</v>
      </c>
      <c r="F349" s="117">
        <f>'11'!E49</f>
        <v>1401515.41</v>
      </c>
    </row>
    <row r="350" spans="1:6" x14ac:dyDescent="0.2">
      <c r="A350" t="str">
        <f t="shared" si="5"/>
        <v>ГОСТ 3083-8048</v>
      </c>
      <c r="B350" t="s">
        <v>76</v>
      </c>
      <c r="C350" s="117">
        <f>'11'!B50</f>
        <v>48</v>
      </c>
      <c r="E350" s="117">
        <f>'11'!D50</f>
        <v>1124795.73</v>
      </c>
      <c r="F350" s="117">
        <f>'11'!E50</f>
        <v>1530454.8</v>
      </c>
    </row>
    <row r="351" spans="1:6" x14ac:dyDescent="0.2">
      <c r="A351" t="str">
        <f t="shared" si="5"/>
        <v>ГОСТ 3083-8050</v>
      </c>
      <c r="B351" t="s">
        <v>76</v>
      </c>
      <c r="C351" s="117">
        <f>'11'!B51</f>
        <v>50</v>
      </c>
      <c r="E351" s="117">
        <f>'11'!D51</f>
        <v>1282267.1299999999</v>
      </c>
      <c r="F351" s="117">
        <f>'11'!E51</f>
        <v>1744718.51</v>
      </c>
    </row>
    <row r="352" spans="1:6" x14ac:dyDescent="0.2">
      <c r="A352" t="str">
        <f t="shared" si="5"/>
        <v>ГОСТ 3083-8053,5</v>
      </c>
      <c r="B352" t="s">
        <v>76</v>
      </c>
      <c r="C352" s="117">
        <f>'11'!B52</f>
        <v>53.5</v>
      </c>
      <c r="E352" s="117">
        <f>'11'!D52</f>
        <v>1448961.81</v>
      </c>
      <c r="F352" s="117">
        <f>'11'!E52</f>
        <v>1971531.95</v>
      </c>
    </row>
    <row r="353" spans="1:6" x14ac:dyDescent="0.2">
      <c r="A353" t="str">
        <f t="shared" si="5"/>
        <v>ГОСТ 3083-8057</v>
      </c>
      <c r="B353" t="s">
        <v>76</v>
      </c>
      <c r="C353" s="117">
        <f>'11'!B53</f>
        <v>57</v>
      </c>
      <c r="E353" s="117">
        <f>'11'!D53</f>
        <v>1641808.69</v>
      </c>
      <c r="F353" s="117">
        <f>'11'!E53</f>
        <v>2241068.84</v>
      </c>
    </row>
    <row r="354" spans="1:6" x14ac:dyDescent="0.2">
      <c r="A354" t="str">
        <f t="shared" si="5"/>
        <v>ГОСТ 3083-8061</v>
      </c>
      <c r="B354" t="s">
        <v>76</v>
      </c>
      <c r="C354" s="117">
        <f>'11'!B54</f>
        <v>61</v>
      </c>
      <c r="E354" s="117">
        <f>'11'!D54</f>
        <v>1785120.93</v>
      </c>
      <c r="F354" s="117">
        <f>'11'!E54</f>
        <v>2428927.35</v>
      </c>
    </row>
    <row r="355" spans="1:6" x14ac:dyDescent="0.2">
      <c r="A355" t="str">
        <f t="shared" si="5"/>
        <v>ГОСТ 3083-8065</v>
      </c>
      <c r="B355" t="s">
        <v>76</v>
      </c>
      <c r="C355" s="117">
        <f>'11'!B55</f>
        <v>65</v>
      </c>
      <c r="E355" s="117">
        <f>'11'!D55</f>
        <v>1945781.79</v>
      </c>
      <c r="F355" s="117">
        <f>'11'!E55</f>
        <v>2647530.81</v>
      </c>
    </row>
    <row r="356" spans="1:6" x14ac:dyDescent="0.2">
      <c r="A356" t="str">
        <f t="shared" si="5"/>
        <v>ГОСТ 3085-8021,5</v>
      </c>
      <c r="B356" t="s">
        <v>182</v>
      </c>
      <c r="C356">
        <f>'12'!B6</f>
        <v>21.5</v>
      </c>
      <c r="E356">
        <f>'12'!D6</f>
        <v>439390.58</v>
      </c>
      <c r="F356">
        <f>'12'!E6</f>
        <v>597480.05000000005</v>
      </c>
    </row>
    <row r="357" spans="1:6" x14ac:dyDescent="0.2">
      <c r="A357" t="str">
        <f t="shared" si="5"/>
        <v>ГОСТ 3085-8023</v>
      </c>
      <c r="B357" t="s">
        <v>182</v>
      </c>
      <c r="C357">
        <f>'12'!B7</f>
        <v>23</v>
      </c>
      <c r="E357">
        <f>'12'!D7</f>
        <v>480329.04</v>
      </c>
      <c r="F357">
        <f>'12'!E7</f>
        <v>653147.88</v>
      </c>
    </row>
    <row r="358" spans="1:6" x14ac:dyDescent="0.2">
      <c r="A358" t="str">
        <f t="shared" si="5"/>
        <v>ГОСТ 3085-8025</v>
      </c>
      <c r="B358" t="s">
        <v>182</v>
      </c>
      <c r="C358">
        <f>'12'!B8</f>
        <v>25</v>
      </c>
      <c r="E358">
        <f>'12'!D8</f>
        <v>539217.56000000006</v>
      </c>
      <c r="F358">
        <f>'12'!E8</f>
        <v>733224.01</v>
      </c>
    </row>
    <row r="359" spans="1:6" x14ac:dyDescent="0.2">
      <c r="A359" t="str">
        <f t="shared" si="5"/>
        <v>ГОСТ 3085-8027,5</v>
      </c>
      <c r="B359" t="s">
        <v>182</v>
      </c>
      <c r="C359">
        <f>'12'!B9</f>
        <v>27.5</v>
      </c>
      <c r="E359">
        <f>'12'!D9</f>
        <v>634968.41</v>
      </c>
      <c r="F359">
        <f>'12'!E9</f>
        <v>863425.25</v>
      </c>
    </row>
    <row r="360" spans="1:6" x14ac:dyDescent="0.2">
      <c r="A360" t="str">
        <f t="shared" si="5"/>
        <v>ГОСТ 3085-8030</v>
      </c>
      <c r="B360" t="s">
        <v>182</v>
      </c>
      <c r="C360">
        <f>'12'!B10</f>
        <v>30</v>
      </c>
      <c r="E360">
        <f>'12'!D10</f>
        <v>0</v>
      </c>
      <c r="F360">
        <f>'12'!E10</f>
        <v>1021279.72</v>
      </c>
    </row>
    <row r="361" spans="1:6" x14ac:dyDescent="0.2">
      <c r="A361" t="str">
        <f t="shared" si="5"/>
        <v>ГОСТ 3085-8033</v>
      </c>
      <c r="B361" t="s">
        <v>182</v>
      </c>
      <c r="C361">
        <f>'12'!B11</f>
        <v>33</v>
      </c>
      <c r="E361">
        <f>'12'!D11</f>
        <v>850247.18</v>
      </c>
      <c r="F361">
        <f>'12'!E11</f>
        <v>1156159.77</v>
      </c>
    </row>
    <row r="362" spans="1:6" x14ac:dyDescent="0.2">
      <c r="A362" t="str">
        <f t="shared" si="5"/>
        <v>ГОСТ 3085-8035,5</v>
      </c>
      <c r="B362" t="s">
        <v>182</v>
      </c>
      <c r="C362">
        <f>'12'!B12</f>
        <v>35.5</v>
      </c>
      <c r="E362">
        <f>'12'!D12</f>
        <v>979365.35</v>
      </c>
      <c r="F362">
        <f>'12'!E12</f>
        <v>1331733.75</v>
      </c>
    </row>
    <row r="363" spans="1:6" x14ac:dyDescent="0.2">
      <c r="A363" t="str">
        <f t="shared" si="5"/>
        <v>ГОСТ 3085-8038,5</v>
      </c>
      <c r="B363" t="s">
        <v>182</v>
      </c>
      <c r="C363">
        <f>'12'!B13</f>
        <v>38.5</v>
      </c>
      <c r="E363">
        <f>'12'!D13</f>
        <v>1170649.8500000001</v>
      </c>
      <c r="F363">
        <f>'12'!E13</f>
        <v>1591840.99</v>
      </c>
    </row>
    <row r="364" spans="1:6" x14ac:dyDescent="0.2">
      <c r="A364" t="str">
        <f t="shared" si="5"/>
        <v>ГОСТ 3085-8040,5</v>
      </c>
      <c r="B364" t="s">
        <v>182</v>
      </c>
      <c r="C364">
        <f>'12'!B14</f>
        <v>40.5</v>
      </c>
      <c r="E364">
        <f>'12'!D14</f>
        <v>1320684.8600000001</v>
      </c>
      <c r="F364">
        <f>'12'!E14</f>
        <v>1795857.41</v>
      </c>
    </row>
    <row r="365" spans="1:6" x14ac:dyDescent="0.2">
      <c r="A365" t="str">
        <f t="shared" si="5"/>
        <v>ГОСТ 3085-8043,5</v>
      </c>
      <c r="B365" t="s">
        <v>182</v>
      </c>
      <c r="C365">
        <f>'12'!B15</f>
        <v>43.5</v>
      </c>
      <c r="E365">
        <f>'12'!D15</f>
        <v>1484398.35</v>
      </c>
      <c r="F365">
        <f>'12'!E15</f>
        <v>2018473.79</v>
      </c>
    </row>
    <row r="366" spans="1:6" x14ac:dyDescent="0.2">
      <c r="A366" t="str">
        <f t="shared" si="5"/>
        <v>ГОСТ 3088-8016</v>
      </c>
      <c r="B366" t="s">
        <v>105</v>
      </c>
      <c r="C366" s="117">
        <f>'12'!B22</f>
        <v>16</v>
      </c>
      <c r="E366" s="117">
        <f>'12'!D22</f>
        <v>181815.38</v>
      </c>
      <c r="F366" s="117">
        <f>'12'!E22</f>
        <v>247196.77</v>
      </c>
    </row>
    <row r="367" spans="1:6" x14ac:dyDescent="0.2">
      <c r="A367" t="str">
        <f t="shared" si="5"/>
        <v>ГОСТ 3088-8018,5</v>
      </c>
      <c r="B367" t="s">
        <v>105</v>
      </c>
      <c r="C367" s="117">
        <f>'12'!B23</f>
        <v>18.5</v>
      </c>
      <c r="E367" s="117">
        <f>'12'!D23</f>
        <v>228871.17</v>
      </c>
      <c r="F367" s="117">
        <f>'12'!E23</f>
        <v>311173.88</v>
      </c>
    </row>
    <row r="368" spans="1:6" x14ac:dyDescent="0.2">
      <c r="A368" t="str">
        <f t="shared" si="5"/>
        <v>ГОСТ 3088-8020</v>
      </c>
      <c r="B368" t="s">
        <v>105</v>
      </c>
      <c r="C368" s="117">
        <f>'12'!B24</f>
        <v>20</v>
      </c>
      <c r="E368" s="117">
        <f>'12'!D24</f>
        <v>259974.21</v>
      </c>
      <c r="F368" s="117">
        <f>'12'!E24</f>
        <v>353461.68</v>
      </c>
    </row>
    <row r="369" spans="1:6" x14ac:dyDescent="0.2">
      <c r="A369" t="str">
        <f t="shared" si="5"/>
        <v>ГОСТ 3088-8021</v>
      </c>
      <c r="B369" t="s">
        <v>105</v>
      </c>
      <c r="C369" s="117">
        <f>'12'!B25</f>
        <v>21</v>
      </c>
      <c r="E369" s="117">
        <f>'12'!D25</f>
        <v>272004.09999999998</v>
      </c>
      <c r="F369" s="117">
        <f>'12'!E25</f>
        <v>369817.63</v>
      </c>
    </row>
    <row r="370" spans="1:6" x14ac:dyDescent="0.2">
      <c r="A370" t="str">
        <f t="shared" si="5"/>
        <v>ГОСТ 3088-8023</v>
      </c>
      <c r="B370" t="s">
        <v>105</v>
      </c>
      <c r="C370" s="117">
        <f>'12'!B26</f>
        <v>23</v>
      </c>
      <c r="E370" s="117">
        <f>'12'!D26</f>
        <v>352269.57</v>
      </c>
      <c r="F370" s="117">
        <f>'12'!E26</f>
        <v>478947.35</v>
      </c>
    </row>
    <row r="371" spans="1:6" x14ac:dyDescent="0.2">
      <c r="A371" t="str">
        <f t="shared" si="5"/>
        <v>ГОСТ 3088-8024,5</v>
      </c>
      <c r="B371" t="s">
        <v>105</v>
      </c>
      <c r="C371" s="117">
        <f>'12'!B27</f>
        <v>24.5</v>
      </c>
      <c r="E371" s="117">
        <f>'12'!D27</f>
        <v>404550.89</v>
      </c>
      <c r="F371" s="117">
        <f>'12'!E27</f>
        <v>550028.68999999994</v>
      </c>
    </row>
    <row r="372" spans="1:6" x14ac:dyDescent="0.2">
      <c r="A372" t="str">
        <f t="shared" si="5"/>
        <v>ГОСТ 3088-8027</v>
      </c>
      <c r="B372" t="s">
        <v>105</v>
      </c>
      <c r="C372" s="117">
        <f>'12'!B28</f>
        <v>27</v>
      </c>
      <c r="E372" s="117">
        <f>'12'!D28</f>
        <v>488863.38</v>
      </c>
      <c r="F372" s="117">
        <f>'12'!E28</f>
        <v>664660.13</v>
      </c>
    </row>
    <row r="373" spans="1:6" x14ac:dyDescent="0.2">
      <c r="A373" t="str">
        <f t="shared" si="5"/>
        <v>ГОСТ 3088-8029,5</v>
      </c>
      <c r="B373" t="s">
        <v>105</v>
      </c>
      <c r="C373" s="117">
        <f>'12'!B29</f>
        <v>29.5</v>
      </c>
      <c r="E373" s="117">
        <f>'12'!D29</f>
        <v>573323.39</v>
      </c>
      <c r="F373" s="117">
        <f>'12'!E29</f>
        <v>779492.28</v>
      </c>
    </row>
    <row r="374" spans="1:6" x14ac:dyDescent="0.2">
      <c r="A374" t="str">
        <f t="shared" si="5"/>
        <v>ГОСТ 3088-8031,5</v>
      </c>
      <c r="B374" t="s">
        <v>105</v>
      </c>
      <c r="C374" s="117">
        <f>'12'!B30</f>
        <v>31.5</v>
      </c>
      <c r="E374" s="117">
        <f>'12'!D30</f>
        <v>587104.06000000006</v>
      </c>
      <c r="F374" s="117">
        <f>'12'!E30</f>
        <v>798228.49</v>
      </c>
    </row>
    <row r="375" spans="1:6" x14ac:dyDescent="0.2">
      <c r="A375" t="str">
        <f t="shared" si="5"/>
        <v>ГОСТ 3088-8034</v>
      </c>
      <c r="B375" t="s">
        <v>105</v>
      </c>
      <c r="C375" s="117">
        <f>'12'!B31</f>
        <v>34</v>
      </c>
      <c r="E375" s="117">
        <f>'12'!D31</f>
        <v>676103.7</v>
      </c>
      <c r="F375" s="117">
        <f>'12'!E31</f>
        <v>919232.65</v>
      </c>
    </row>
    <row r="376" spans="1:6" x14ac:dyDescent="0.2">
      <c r="A376" t="str">
        <f t="shared" si="5"/>
        <v>ГОСТ 3088-8036</v>
      </c>
      <c r="B376" t="s">
        <v>105</v>
      </c>
      <c r="C376" s="117">
        <f>'12'!B32</f>
        <v>36</v>
      </c>
      <c r="E376" s="117">
        <f>'12'!D32</f>
        <v>752904.5</v>
      </c>
      <c r="F376" s="117">
        <f>'12'!E32</f>
        <v>1023651.28</v>
      </c>
    </row>
    <row r="377" spans="1:6" x14ac:dyDescent="0.2">
      <c r="A377" t="str">
        <f t="shared" si="5"/>
        <v>ГОСТ 3088-8038,5</v>
      </c>
      <c r="B377" t="s">
        <v>105</v>
      </c>
      <c r="C377" s="117">
        <f>'12'!B33</f>
        <v>38.5</v>
      </c>
      <c r="E377" s="117">
        <f>'12'!D33</f>
        <v>884981.54</v>
      </c>
      <c r="F377" s="117">
        <f>'12'!E33</f>
        <v>1203223.6499999999</v>
      </c>
    </row>
    <row r="378" spans="1:6" x14ac:dyDescent="0.2">
      <c r="A378" t="str">
        <f t="shared" si="5"/>
        <v>ГОСТ 3088-8041</v>
      </c>
      <c r="B378" t="s">
        <v>105</v>
      </c>
      <c r="C378" s="117">
        <f>'12'!B34</f>
        <v>41</v>
      </c>
      <c r="E378" s="117">
        <f>'12'!D34</f>
        <v>955398.12</v>
      </c>
      <c r="F378" s="117">
        <f>'12'!E34</f>
        <v>1298962.24</v>
      </c>
    </row>
    <row r="379" spans="1:6" x14ac:dyDescent="0.2">
      <c r="A379" t="str">
        <f t="shared" si="5"/>
        <v>ГОСТ 3088-8044</v>
      </c>
      <c r="B379" t="s">
        <v>105</v>
      </c>
      <c r="C379" s="117">
        <f>'12'!B35</f>
        <v>44</v>
      </c>
      <c r="E379" s="117">
        <f>'12'!D35</f>
        <v>1065120.4099999999</v>
      </c>
      <c r="F379" s="117">
        <f>'12'!E35</f>
        <v>1448140.94</v>
      </c>
    </row>
    <row r="380" spans="1:6" x14ac:dyDescent="0.2">
      <c r="A380" t="str">
        <f t="shared" si="5"/>
        <v>ГОСТ 3088-8045,5</v>
      </c>
      <c r="B380" t="s">
        <v>105</v>
      </c>
      <c r="C380" s="117">
        <f>'12'!B36</f>
        <v>45.5</v>
      </c>
      <c r="E380" s="117">
        <f>'12'!D36</f>
        <v>1132314.1399999999</v>
      </c>
      <c r="F380" s="117">
        <f>'12'!E36</f>
        <v>1539497.8</v>
      </c>
    </row>
    <row r="381" spans="1:6" x14ac:dyDescent="0.2">
      <c r="A381" t="str">
        <f t="shared" si="5"/>
        <v>ГОСТ 3088-8049,5</v>
      </c>
      <c r="B381" t="s">
        <v>105</v>
      </c>
      <c r="C381" s="117">
        <f>'12'!B37</f>
        <v>49.5</v>
      </c>
      <c r="E381" s="117">
        <f>'12'!D37</f>
        <v>1345419.21</v>
      </c>
      <c r="F381" s="117">
        <f>'12'!E37</f>
        <v>1829236.15</v>
      </c>
    </row>
    <row r="382" spans="1:6" x14ac:dyDescent="0.2">
      <c r="A382" t="str">
        <f t="shared" si="5"/>
        <v>ГОСТ 3088-8051</v>
      </c>
      <c r="B382" t="s">
        <v>105</v>
      </c>
      <c r="C382" s="117">
        <f>'12'!B38</f>
        <v>51</v>
      </c>
      <c r="E382" s="117">
        <f>'12'!D38</f>
        <v>1394491.09</v>
      </c>
      <c r="F382" s="117">
        <f>'12'!E38</f>
        <v>1895954.42</v>
      </c>
    </row>
    <row r="383" spans="1:6" x14ac:dyDescent="0.2">
      <c r="A383" t="str">
        <f t="shared" si="5"/>
        <v>ГОСТ 3088-8052</v>
      </c>
      <c r="B383" t="s">
        <v>105</v>
      </c>
      <c r="C383" s="117">
        <f>'12'!B39</f>
        <v>52</v>
      </c>
      <c r="E383" s="117">
        <f>'12'!D39</f>
        <v>1453791.19</v>
      </c>
      <c r="F383" s="117">
        <f>'12'!E39</f>
        <v>1976579.01</v>
      </c>
    </row>
    <row r="384" spans="1:6" x14ac:dyDescent="0.2">
      <c r="A384" t="str">
        <f t="shared" si="5"/>
        <v>ГОСТ 3088-8054,5</v>
      </c>
      <c r="B384" t="s">
        <v>105</v>
      </c>
      <c r="C384" s="117">
        <f>'12'!B40</f>
        <v>54.5</v>
      </c>
      <c r="E384" s="117">
        <f>'12'!D40</f>
        <v>1567210.41</v>
      </c>
      <c r="F384" s="117">
        <f>'12'!E40</f>
        <v>2130784.13</v>
      </c>
    </row>
    <row r="385" spans="1:6" x14ac:dyDescent="0.2">
      <c r="A385" t="str">
        <f t="shared" si="5"/>
        <v>ГОСТ 3088-8056</v>
      </c>
      <c r="B385" t="s">
        <v>105</v>
      </c>
      <c r="C385" s="117">
        <f>'12'!B41</f>
        <v>56</v>
      </c>
      <c r="E385" s="117">
        <f>'12'!D41</f>
        <v>0</v>
      </c>
      <c r="F385" s="117">
        <f>'12'!E41</f>
        <v>2176457.5699999998</v>
      </c>
    </row>
    <row r="386" spans="1:6" x14ac:dyDescent="0.2">
      <c r="A386" t="str">
        <f t="shared" si="5"/>
        <v>ГОСТ 3088-8059,5</v>
      </c>
      <c r="B386" t="s">
        <v>105</v>
      </c>
      <c r="C386" s="117">
        <f>'12'!B42</f>
        <v>59.5</v>
      </c>
      <c r="E386" s="117">
        <f>'12'!D42</f>
        <v>1686216.83</v>
      </c>
      <c r="F386" s="117">
        <f>'12'!E42</f>
        <v>2292585.48</v>
      </c>
    </row>
    <row r="387" spans="1:6" x14ac:dyDescent="0.2">
      <c r="A387" t="str">
        <f t="shared" ref="A387:A450" si="6">B387&amp;C387</f>
        <v>ГОСТ 3089-8011,5</v>
      </c>
      <c r="B387" t="s">
        <v>77</v>
      </c>
      <c r="C387">
        <f>'12'!B50</f>
        <v>11.5</v>
      </c>
      <c r="E387">
        <f>'12'!D50</f>
        <v>178342.83</v>
      </c>
      <c r="F387">
        <f>'12'!E50</f>
        <v>236080.46</v>
      </c>
    </row>
    <row r="388" spans="1:6" x14ac:dyDescent="0.2">
      <c r="A388" t="str">
        <f t="shared" si="6"/>
        <v>ГОСТ 3089-8012,5</v>
      </c>
      <c r="B388" t="s">
        <v>77</v>
      </c>
      <c r="C388">
        <f>'12'!B51</f>
        <v>12.5</v>
      </c>
      <c r="E388">
        <f>'12'!D51</f>
        <v>192942.9</v>
      </c>
      <c r="F388">
        <f>'12'!E51</f>
        <v>255407.21</v>
      </c>
    </row>
    <row r="389" spans="1:6" x14ac:dyDescent="0.2">
      <c r="A389" t="str">
        <f t="shared" si="6"/>
        <v>ГОСТ 3089-8013,5</v>
      </c>
      <c r="B389" t="s">
        <v>77</v>
      </c>
      <c r="C389">
        <f>'12'!B52</f>
        <v>13.5</v>
      </c>
      <c r="E389">
        <f>'12'!D52</f>
        <v>202665.75</v>
      </c>
      <c r="F389">
        <f>'12'!E52</f>
        <v>267817.02</v>
      </c>
    </row>
    <row r="390" spans="1:6" x14ac:dyDescent="0.2">
      <c r="A390" t="str">
        <f t="shared" si="6"/>
        <v>ГОСТ 3089-8014,5</v>
      </c>
      <c r="B390" t="s">
        <v>77</v>
      </c>
      <c r="C390">
        <f>'12'!B53</f>
        <v>14.5</v>
      </c>
      <c r="E390">
        <f>'12'!D53</f>
        <v>223102.8</v>
      </c>
      <c r="F390">
        <f>'12'!E53</f>
        <v>295463.90999999997</v>
      </c>
    </row>
    <row r="391" spans="1:6" x14ac:dyDescent="0.2">
      <c r="A391" t="str">
        <f t="shared" si="6"/>
        <v>ГОСТ 3089-8016</v>
      </c>
      <c r="B391" t="s">
        <v>77</v>
      </c>
      <c r="C391">
        <f>'12'!B54</f>
        <v>16</v>
      </c>
      <c r="E391">
        <f>'12'!D54</f>
        <v>248549.7</v>
      </c>
      <c r="F391">
        <f>'12'!E54</f>
        <v>329218.28999999998</v>
      </c>
    </row>
    <row r="392" spans="1:6" x14ac:dyDescent="0.2">
      <c r="A392" t="str">
        <f t="shared" si="6"/>
        <v>ГОСТ 3089-8017</v>
      </c>
      <c r="B392" t="s">
        <v>77</v>
      </c>
      <c r="C392">
        <f>'12'!B55</f>
        <v>17</v>
      </c>
      <c r="E392">
        <f>'12'!D55</f>
        <v>271051.27</v>
      </c>
      <c r="F392">
        <f>'12'!E55</f>
        <v>360690.92</v>
      </c>
    </row>
    <row r="393" spans="1:6" x14ac:dyDescent="0.2">
      <c r="A393" t="str">
        <f t="shared" si="6"/>
        <v>ГОСТ 3089-8019</v>
      </c>
      <c r="B393" t="s">
        <v>77</v>
      </c>
      <c r="C393">
        <f>'12'!B56</f>
        <v>19</v>
      </c>
      <c r="E393">
        <f>'12'!D56</f>
        <v>294102.15000000002</v>
      </c>
      <c r="F393">
        <f>'12'!E56</f>
        <v>389419.86</v>
      </c>
    </row>
    <row r="394" spans="1:6" x14ac:dyDescent="0.2">
      <c r="A394" t="str">
        <f t="shared" si="6"/>
        <v>ГОСТ 3089-8025</v>
      </c>
      <c r="B394" t="s">
        <v>77</v>
      </c>
      <c r="C394">
        <f>'12'!B57</f>
        <v>25</v>
      </c>
      <c r="E394">
        <f>'12'!D57</f>
        <v>431246.21</v>
      </c>
      <c r="F394">
        <f>'12'!E57</f>
        <v>567776.4</v>
      </c>
    </row>
    <row r="395" spans="1:6" x14ac:dyDescent="0.2">
      <c r="A395" t="str">
        <f t="shared" si="6"/>
        <v>ГОСТ 3089-8028</v>
      </c>
      <c r="B395" t="s">
        <v>77</v>
      </c>
      <c r="C395">
        <f>'12'!B58</f>
        <v>28</v>
      </c>
      <c r="E395">
        <f>'12'!D58</f>
        <v>448160.79</v>
      </c>
      <c r="F395">
        <f>'12'!E58</f>
        <v>591853.26</v>
      </c>
    </row>
    <row r="396" spans="1:6" x14ac:dyDescent="0.2">
      <c r="A396" t="str">
        <f t="shared" si="6"/>
        <v>ГОСТ 3089-8030</v>
      </c>
      <c r="B396" t="s">
        <v>77</v>
      </c>
      <c r="C396">
        <f>'12'!B59</f>
        <v>30</v>
      </c>
      <c r="E396">
        <f>'12'!D59</f>
        <v>496120.11</v>
      </c>
      <c r="F396">
        <f>'12'!E59</f>
        <v>657708.25</v>
      </c>
    </row>
    <row r="397" spans="1:6" x14ac:dyDescent="0.2">
      <c r="A397" t="str">
        <f t="shared" si="6"/>
        <v>ГОСТ 3089-8034</v>
      </c>
      <c r="B397" t="s">
        <v>77</v>
      </c>
      <c r="C397">
        <f>'12'!B60</f>
        <v>34</v>
      </c>
      <c r="E397">
        <f>'12'!D60</f>
        <v>595012.06999999995</v>
      </c>
      <c r="F397">
        <f>'12'!E60</f>
        <v>778666.73</v>
      </c>
    </row>
    <row r="398" spans="1:6" x14ac:dyDescent="0.2">
      <c r="A398" t="str">
        <f t="shared" si="6"/>
        <v>ГОСТ 3089-8039</v>
      </c>
      <c r="B398" t="s">
        <v>77</v>
      </c>
      <c r="C398">
        <f>'12'!B61</f>
        <v>39</v>
      </c>
      <c r="E398">
        <f>'12'!D61</f>
        <v>725386.32</v>
      </c>
      <c r="F398">
        <f>'12'!E61</f>
        <v>946491.99</v>
      </c>
    </row>
    <row r="399" spans="1:6" x14ac:dyDescent="0.2">
      <c r="A399" t="str">
        <f t="shared" si="6"/>
        <v>ГОСТ 3089-8043</v>
      </c>
      <c r="B399" t="s">
        <v>77</v>
      </c>
      <c r="C399">
        <f>'12'!B62</f>
        <v>43</v>
      </c>
      <c r="E399">
        <f>'12'!D62</f>
        <v>846542.52</v>
      </c>
      <c r="F399">
        <f>'12'!E62</f>
        <v>1103892.56</v>
      </c>
    </row>
    <row r="400" spans="1:6" x14ac:dyDescent="0.2">
      <c r="A400" t="str">
        <f t="shared" si="6"/>
        <v>ГОСТ 3089-8051</v>
      </c>
      <c r="B400" t="s">
        <v>77</v>
      </c>
      <c r="C400">
        <f>'12'!B63</f>
        <v>51</v>
      </c>
      <c r="E400">
        <f>'12'!D63</f>
        <v>1124513.83</v>
      </c>
      <c r="F400">
        <f>'12'!E63</f>
        <v>1461946.8</v>
      </c>
    </row>
    <row r="401" spans="1:6" x14ac:dyDescent="0.2">
      <c r="A401" t="str">
        <f t="shared" si="6"/>
        <v>ГОСТ 3089-8059,5</v>
      </c>
      <c r="B401" t="s">
        <v>77</v>
      </c>
      <c r="C401">
        <f>'12'!B64</f>
        <v>59.5</v>
      </c>
      <c r="E401">
        <f>'12'!D64</f>
        <v>1485337.52</v>
      </c>
      <c r="F401">
        <f>'12'!E64</f>
        <v>1905250.08</v>
      </c>
    </row>
    <row r="402" spans="1:6" x14ac:dyDescent="0.2">
      <c r="A402" t="str">
        <f t="shared" si="6"/>
        <v>ГОСТ 3089-8064,5</v>
      </c>
      <c r="B402" t="s">
        <v>77</v>
      </c>
      <c r="C402">
        <f>'12'!B65</f>
        <v>64.5</v>
      </c>
      <c r="E402">
        <f>'12'!D65</f>
        <v>1723244.65</v>
      </c>
      <c r="F402">
        <f>'12'!E65</f>
        <v>2155473.37</v>
      </c>
    </row>
    <row r="403" spans="1:6" x14ac:dyDescent="0.2">
      <c r="A403" t="str">
        <f t="shared" si="6"/>
        <v>ГОСТ 3089-8078</v>
      </c>
      <c r="B403" t="s">
        <v>77</v>
      </c>
      <c r="C403">
        <f>'12'!B66</f>
        <v>78</v>
      </c>
      <c r="E403">
        <f>'12'!D66</f>
        <v>2446656.0699999998</v>
      </c>
      <c r="F403">
        <f>'12'!E66</f>
        <v>3121539.3</v>
      </c>
    </row>
    <row r="404" spans="1:6" x14ac:dyDescent="0.2">
      <c r="A404" t="str">
        <f t="shared" si="6"/>
        <v>ГОСТ 3089-8082</v>
      </c>
      <c r="B404" t="s">
        <v>77</v>
      </c>
      <c r="C404">
        <f>'12'!B67</f>
        <v>82</v>
      </c>
      <c r="E404">
        <f>'12'!D67</f>
        <v>2738129.19</v>
      </c>
      <c r="F404">
        <f>'12'!E67</f>
        <v>3493412.06</v>
      </c>
    </row>
    <row r="405" spans="1:6" x14ac:dyDescent="0.2">
      <c r="A405" t="str">
        <f t="shared" si="6"/>
        <v>ГОСТ 7665-808,1</v>
      </c>
      <c r="B405" t="s">
        <v>79</v>
      </c>
      <c r="C405" s="117">
        <f>'13'!B6</f>
        <v>8.1</v>
      </c>
      <c r="E405" s="117">
        <f>'13'!D6</f>
        <v>51393.34</v>
      </c>
      <c r="F405" s="117">
        <f>'13'!E6</f>
        <v>67928.22</v>
      </c>
    </row>
    <row r="406" spans="1:6" x14ac:dyDescent="0.2">
      <c r="A406" t="str">
        <f t="shared" si="6"/>
        <v>ГОСТ 7665-809,7</v>
      </c>
      <c r="B406" t="s">
        <v>79</v>
      </c>
      <c r="C406" s="117">
        <f>'13'!B7</f>
        <v>9.6999999999999993</v>
      </c>
      <c r="E406" s="117">
        <f>'13'!D7</f>
        <v>61398.080000000002</v>
      </c>
      <c r="F406" s="117">
        <f>'13'!E7</f>
        <v>81135.81</v>
      </c>
    </row>
    <row r="407" spans="1:6" x14ac:dyDescent="0.2">
      <c r="A407" t="str">
        <f t="shared" si="6"/>
        <v>ГОСТ 7665-8011,5</v>
      </c>
      <c r="B407" t="s">
        <v>79</v>
      </c>
      <c r="C407" s="117">
        <f>'13'!B8</f>
        <v>11.5</v>
      </c>
      <c r="E407" s="117">
        <f>'13'!D8</f>
        <v>74637.009999999995</v>
      </c>
      <c r="F407" s="117">
        <f>'13'!E8</f>
        <v>98659.6</v>
      </c>
    </row>
    <row r="408" spans="1:6" x14ac:dyDescent="0.2">
      <c r="A408" t="str">
        <f t="shared" si="6"/>
        <v>ГОСТ 7665-8013</v>
      </c>
      <c r="B408" t="s">
        <v>79</v>
      </c>
      <c r="C408" s="117">
        <f>'13'!B9</f>
        <v>13</v>
      </c>
      <c r="E408" s="117">
        <f>'13'!D9</f>
        <v>88096.69</v>
      </c>
      <c r="F408" s="117">
        <f>'13'!E9</f>
        <v>116445.16</v>
      </c>
    </row>
    <row r="409" spans="1:6" x14ac:dyDescent="0.2">
      <c r="A409" t="str">
        <f t="shared" si="6"/>
        <v>ГОСТ 7665-8014,5</v>
      </c>
      <c r="B409" t="s">
        <v>79</v>
      </c>
      <c r="C409" s="117">
        <f>'13'!B10</f>
        <v>14.5</v>
      </c>
      <c r="E409" s="117">
        <f>'13'!D10</f>
        <v>102321.60000000001</v>
      </c>
      <c r="F409" s="117">
        <f>'13'!E10</f>
        <v>135280.10999999999</v>
      </c>
    </row>
    <row r="410" spans="1:6" x14ac:dyDescent="0.2">
      <c r="A410" t="str">
        <f t="shared" si="6"/>
        <v>ГОСТ 7665-8016</v>
      </c>
      <c r="B410" t="s">
        <v>79</v>
      </c>
      <c r="C410" s="117">
        <f>'13'!B11</f>
        <v>16</v>
      </c>
      <c r="E410" s="117">
        <f>'13'!D11</f>
        <v>124881.73</v>
      </c>
      <c r="F410" s="117">
        <f>'13'!E11</f>
        <v>165056.45000000001</v>
      </c>
    </row>
    <row r="411" spans="1:6" x14ac:dyDescent="0.2">
      <c r="A411" t="str">
        <f t="shared" si="6"/>
        <v>ГОСТ 7665-8017,5</v>
      </c>
      <c r="B411" t="s">
        <v>79</v>
      </c>
      <c r="C411" s="117">
        <f>'13'!B12</f>
        <v>17.5</v>
      </c>
      <c r="E411" s="117">
        <f>'13'!D12</f>
        <v>145167.73000000001</v>
      </c>
      <c r="F411" s="117">
        <f>'13'!E12</f>
        <v>191932.81</v>
      </c>
    </row>
    <row r="412" spans="1:6" x14ac:dyDescent="0.2">
      <c r="A412" t="str">
        <f t="shared" si="6"/>
        <v>ГОСТ 7665-8019,5</v>
      </c>
      <c r="B412" t="s">
        <v>79</v>
      </c>
      <c r="C412" s="117">
        <f>'13'!B13</f>
        <v>19.5</v>
      </c>
      <c r="E412" s="117">
        <f>'13'!D13</f>
        <v>165706.67000000001</v>
      </c>
      <c r="F412" s="117">
        <f>'13'!E13</f>
        <v>218990.91</v>
      </c>
    </row>
    <row r="413" spans="1:6" x14ac:dyDescent="0.2">
      <c r="A413" t="str">
        <f t="shared" si="6"/>
        <v>ГОСТ 7665-8021</v>
      </c>
      <c r="B413" t="s">
        <v>79</v>
      </c>
      <c r="C413" s="117">
        <f>'13'!B14</f>
        <v>21</v>
      </c>
      <c r="E413" s="117">
        <f>'13'!D14</f>
        <v>192390.43</v>
      </c>
      <c r="F413" s="117">
        <f>'13'!E14</f>
        <v>254422.52</v>
      </c>
    </row>
    <row r="414" spans="1:6" x14ac:dyDescent="0.2">
      <c r="A414" t="str">
        <f t="shared" si="6"/>
        <v>ГОСТ 7665-8022,5</v>
      </c>
      <c r="B414" t="s">
        <v>79</v>
      </c>
      <c r="C414" s="117">
        <f>'13'!B15</f>
        <v>22.5</v>
      </c>
      <c r="E414" s="117">
        <f>'13'!D15</f>
        <v>213863.42</v>
      </c>
      <c r="F414" s="117">
        <f>'13'!E15</f>
        <v>282767.52</v>
      </c>
    </row>
    <row r="415" spans="1:6" x14ac:dyDescent="0.2">
      <c r="A415" t="str">
        <f t="shared" si="6"/>
        <v>ГОСТ 7665-8024</v>
      </c>
      <c r="B415" t="s">
        <v>79</v>
      </c>
      <c r="C415" s="117">
        <f>'13'!B16</f>
        <v>24</v>
      </c>
      <c r="E415" s="117">
        <f>'13'!D16</f>
        <v>240453.31</v>
      </c>
      <c r="F415" s="117">
        <f>'13'!E16</f>
        <v>317702.21000000002</v>
      </c>
    </row>
    <row r="416" spans="1:6" x14ac:dyDescent="0.2">
      <c r="A416" t="str">
        <f t="shared" si="6"/>
        <v>ГОСТ 7665-8025,5</v>
      </c>
      <c r="B416" t="s">
        <v>79</v>
      </c>
      <c r="C416" s="117">
        <f>'13'!B17</f>
        <v>25.5</v>
      </c>
      <c r="E416" s="117">
        <f>'13'!D17</f>
        <v>273100.26</v>
      </c>
      <c r="F416" s="117">
        <f>'13'!E17</f>
        <v>360961.98</v>
      </c>
    </row>
    <row r="417" spans="1:6" x14ac:dyDescent="0.2">
      <c r="A417" t="str">
        <f t="shared" si="6"/>
        <v>ГОСТ 7665-8027,5</v>
      </c>
      <c r="B417" t="s">
        <v>79</v>
      </c>
      <c r="C417" s="117">
        <f>'13'!B18</f>
        <v>27.5</v>
      </c>
      <c r="E417" s="117">
        <f>'13'!D18</f>
        <v>308280.28000000003</v>
      </c>
      <c r="F417" s="117">
        <f>'13'!E18</f>
        <v>407464.11</v>
      </c>
    </row>
    <row r="418" spans="1:6" x14ac:dyDescent="0.2">
      <c r="A418" t="str">
        <f t="shared" si="6"/>
        <v>ГОСТ 7665-8029</v>
      </c>
      <c r="B418" t="s">
        <v>79</v>
      </c>
      <c r="C418" s="117">
        <f>'13'!B19</f>
        <v>29</v>
      </c>
      <c r="E418" s="117">
        <f>'13'!D19</f>
        <v>344536.96</v>
      </c>
      <c r="F418" s="117">
        <f>'13'!E19</f>
        <v>455287.4</v>
      </c>
    </row>
    <row r="419" spans="1:6" x14ac:dyDescent="0.2">
      <c r="A419" t="str">
        <f t="shared" si="6"/>
        <v>ГОСТ 7665-8032</v>
      </c>
      <c r="B419" t="s">
        <v>79</v>
      </c>
      <c r="C419" s="117">
        <f>'13'!B20</f>
        <v>32</v>
      </c>
      <c r="E419" s="117">
        <f>'13'!D20</f>
        <v>415522.47</v>
      </c>
      <c r="F419" s="117">
        <f>'13'!E20</f>
        <v>549422.84</v>
      </c>
    </row>
    <row r="420" spans="1:6" x14ac:dyDescent="0.2">
      <c r="A420" t="str">
        <f t="shared" si="6"/>
        <v>ГОСТ 7665-8035,5</v>
      </c>
      <c r="B420" t="s">
        <v>79</v>
      </c>
      <c r="C420" s="117">
        <f>'13'!B21</f>
        <v>35.5</v>
      </c>
      <c r="E420" s="117">
        <f>'13'!D21</f>
        <v>501838.7</v>
      </c>
      <c r="F420" s="117">
        <f>'13'!E21</f>
        <v>663349.65</v>
      </c>
    </row>
    <row r="421" spans="1:6" x14ac:dyDescent="0.2">
      <c r="A421" t="str">
        <f t="shared" si="6"/>
        <v>ГОСТ 7665-8038,5</v>
      </c>
      <c r="B421" t="s">
        <v>79</v>
      </c>
      <c r="C421" s="117">
        <f>'13'!B22</f>
        <v>38.5</v>
      </c>
      <c r="E421" s="117">
        <f>'13'!D22</f>
        <v>586132.05000000005</v>
      </c>
      <c r="F421" s="117">
        <f>'13'!E22</f>
        <v>775021.49</v>
      </c>
    </row>
    <row r="422" spans="1:6" x14ac:dyDescent="0.2">
      <c r="A422" t="str">
        <f t="shared" si="6"/>
        <v>ГОСТ 7665-8042</v>
      </c>
      <c r="B422" t="s">
        <v>79</v>
      </c>
      <c r="C422" s="117">
        <f>'13'!B23</f>
        <v>42</v>
      </c>
      <c r="E422" s="117">
        <f>'13'!D23</f>
        <v>657494.37</v>
      </c>
      <c r="F422" s="117">
        <f>'13'!E23</f>
        <v>868976.24</v>
      </c>
    </row>
    <row r="423" spans="1:6" x14ac:dyDescent="0.2">
      <c r="A423" t="str">
        <f t="shared" si="6"/>
        <v>ГОСТ 7665-8045</v>
      </c>
      <c r="B423" t="s">
        <v>79</v>
      </c>
      <c r="C423" s="117">
        <f>'13'!B24</f>
        <v>45</v>
      </c>
      <c r="E423" s="117">
        <f>'13'!D24</f>
        <v>765498.07</v>
      </c>
      <c r="F423" s="117">
        <f>'13'!E24</f>
        <v>1011628.25</v>
      </c>
    </row>
    <row r="424" spans="1:6" x14ac:dyDescent="0.2">
      <c r="A424" t="str">
        <f t="shared" si="6"/>
        <v>ГОСТ 7667-809,5</v>
      </c>
      <c r="B424" t="s">
        <v>83</v>
      </c>
      <c r="C424">
        <f>'13'!B31</f>
        <v>9.5</v>
      </c>
      <c r="E424">
        <f>'13'!D31</f>
        <v>77965.62</v>
      </c>
      <c r="F424">
        <f>'13'!E31</f>
        <v>102932.54</v>
      </c>
    </row>
    <row r="425" spans="1:6" x14ac:dyDescent="0.2">
      <c r="A425" t="str">
        <f t="shared" si="6"/>
        <v>ГОСТ 7667-8011,5</v>
      </c>
      <c r="B425" t="s">
        <v>83</v>
      </c>
      <c r="C425">
        <f>'13'!B32</f>
        <v>11.5</v>
      </c>
      <c r="E425">
        <f>'13'!D32</f>
        <v>87808.73</v>
      </c>
      <c r="F425">
        <f>'13'!E32</f>
        <v>115949.54</v>
      </c>
    </row>
    <row r="426" spans="1:6" x14ac:dyDescent="0.2">
      <c r="A426" t="str">
        <f t="shared" si="6"/>
        <v>ГОСТ 7667-8012,5</v>
      </c>
      <c r="B426" t="s">
        <v>83</v>
      </c>
      <c r="C426">
        <f>'13'!B33</f>
        <v>12.5</v>
      </c>
      <c r="E426">
        <f>'13'!D33</f>
        <v>102792.82</v>
      </c>
      <c r="F426">
        <f>'13'!E33</f>
        <v>135737.42000000001</v>
      </c>
    </row>
    <row r="427" spans="1:6" x14ac:dyDescent="0.2">
      <c r="A427" t="str">
        <f t="shared" si="6"/>
        <v>ГОСТ 7667-8014</v>
      </c>
      <c r="B427" t="s">
        <v>83</v>
      </c>
      <c r="C427">
        <f>'13'!B34</f>
        <v>14</v>
      </c>
      <c r="E427">
        <f>'13'!D34</f>
        <v>116296.3</v>
      </c>
      <c r="F427">
        <f>'13'!E34</f>
        <v>153561.92000000001</v>
      </c>
    </row>
    <row r="428" spans="1:6" x14ac:dyDescent="0.2">
      <c r="A428" t="str">
        <f t="shared" si="6"/>
        <v>ГОСТ 7667-8015,5</v>
      </c>
      <c r="B428" t="s">
        <v>83</v>
      </c>
      <c r="C428">
        <f>'13'!B35</f>
        <v>15.5</v>
      </c>
      <c r="E428">
        <f>'13'!D35</f>
        <v>136863.71</v>
      </c>
      <c r="F428">
        <f>'13'!E35</f>
        <v>180628.5</v>
      </c>
    </row>
    <row r="429" spans="1:6" x14ac:dyDescent="0.2">
      <c r="A429" t="str">
        <f t="shared" si="6"/>
        <v>ГОСТ 7667-8017</v>
      </c>
      <c r="B429" t="s">
        <v>83</v>
      </c>
      <c r="C429">
        <f>'13'!B36</f>
        <v>17</v>
      </c>
      <c r="E429">
        <f>'13'!D36</f>
        <v>151726.73000000001</v>
      </c>
      <c r="F429">
        <f>'13'!E36</f>
        <v>200311.48</v>
      </c>
    </row>
    <row r="430" spans="1:6" x14ac:dyDescent="0.2">
      <c r="A430" t="str">
        <f t="shared" si="6"/>
        <v>ГОСТ 7667-8019</v>
      </c>
      <c r="B430" t="s">
        <v>83</v>
      </c>
      <c r="C430">
        <f>'13'!B37</f>
        <v>19</v>
      </c>
      <c r="E430">
        <f>'13'!D37</f>
        <v>166559.01999999999</v>
      </c>
      <c r="F430">
        <f>'13'!E37</f>
        <v>219834.77</v>
      </c>
    </row>
    <row r="431" spans="1:6" x14ac:dyDescent="0.2">
      <c r="A431" t="str">
        <f t="shared" si="6"/>
        <v>ГОСТ 7667-8020,5</v>
      </c>
      <c r="B431" t="s">
        <v>83</v>
      </c>
      <c r="C431">
        <f>'13'!B38</f>
        <v>20.5</v>
      </c>
      <c r="E431">
        <f>'13'!D38</f>
        <v>185756.62</v>
      </c>
      <c r="F431">
        <f>'13'!E38</f>
        <v>245338.42</v>
      </c>
    </row>
    <row r="432" spans="1:6" x14ac:dyDescent="0.2">
      <c r="A432" t="str">
        <f t="shared" si="6"/>
        <v>ГОСТ 7667-8022</v>
      </c>
      <c r="B432" t="s">
        <v>83</v>
      </c>
      <c r="C432">
        <f>'13'!B39</f>
        <v>22</v>
      </c>
      <c r="E432">
        <f>'13'!D39</f>
        <v>213933.41</v>
      </c>
      <c r="F432">
        <f>'13'!E39</f>
        <v>282540.28999999998</v>
      </c>
    </row>
    <row r="433" spans="1:6" x14ac:dyDescent="0.2">
      <c r="A433" t="str">
        <f t="shared" si="6"/>
        <v>ГОСТ 7667-8023,5</v>
      </c>
      <c r="B433" t="s">
        <v>83</v>
      </c>
      <c r="C433">
        <f>'13'!B40</f>
        <v>23.5</v>
      </c>
      <c r="E433">
        <f>'13'!D40</f>
        <v>243202.49</v>
      </c>
      <c r="F433">
        <f>'13'!E40</f>
        <v>320971.96000000002</v>
      </c>
    </row>
    <row r="434" spans="1:6" x14ac:dyDescent="0.2">
      <c r="A434" t="str">
        <f t="shared" si="6"/>
        <v>ГОСТ 7667-8025</v>
      </c>
      <c r="B434" t="s">
        <v>83</v>
      </c>
      <c r="C434">
        <f>'13'!B41</f>
        <v>25</v>
      </c>
      <c r="E434">
        <f>'13'!D41</f>
        <v>274585.7</v>
      </c>
      <c r="F434">
        <f>'13'!E41</f>
        <v>362388.03</v>
      </c>
    </row>
    <row r="435" spans="1:6" x14ac:dyDescent="0.2">
      <c r="A435" t="str">
        <f t="shared" si="6"/>
        <v>ГОСТ 7667-8027</v>
      </c>
      <c r="B435" t="s">
        <v>83</v>
      </c>
      <c r="C435">
        <f>'13'!B42</f>
        <v>27</v>
      </c>
      <c r="E435">
        <f>'13'!D42</f>
        <v>308204.75</v>
      </c>
      <c r="F435">
        <f>'13'!E42</f>
        <v>406936.8</v>
      </c>
    </row>
    <row r="436" spans="1:6" x14ac:dyDescent="0.2">
      <c r="A436" t="str">
        <f t="shared" si="6"/>
        <v>ГОСТ 7667-8028</v>
      </c>
      <c r="B436" t="s">
        <v>83</v>
      </c>
      <c r="C436">
        <f>'13'!B43</f>
        <v>28</v>
      </c>
      <c r="E436">
        <f>'13'!D43</f>
        <v>332043.06</v>
      </c>
      <c r="F436">
        <f>'13'!E43</f>
        <v>451359.7</v>
      </c>
    </row>
    <row r="437" spans="1:6" x14ac:dyDescent="0.2">
      <c r="A437" t="str">
        <f t="shared" si="6"/>
        <v>ГОСТ 7667-8031</v>
      </c>
      <c r="B437" t="s">
        <v>83</v>
      </c>
      <c r="C437">
        <f>'13'!B44</f>
        <v>31</v>
      </c>
      <c r="E437">
        <f>'13'!D44</f>
        <v>406168.18</v>
      </c>
      <c r="F437">
        <f>'13'!E44</f>
        <v>552267.92000000004</v>
      </c>
    </row>
    <row r="438" spans="1:6" x14ac:dyDescent="0.2">
      <c r="A438" t="str">
        <f t="shared" si="6"/>
        <v>ГОСТ 7667-8034</v>
      </c>
      <c r="B438" t="s">
        <v>83</v>
      </c>
      <c r="C438">
        <f>'13'!B45</f>
        <v>34</v>
      </c>
      <c r="E438">
        <f>'13'!D45</f>
        <v>475350.93</v>
      </c>
      <c r="F438">
        <f>'13'!E45</f>
        <v>646559.35</v>
      </c>
    </row>
    <row r="439" spans="1:6" x14ac:dyDescent="0.2">
      <c r="A439" t="str">
        <f t="shared" si="6"/>
        <v>ГОСТ 7667-8037</v>
      </c>
      <c r="B439" t="s">
        <v>83</v>
      </c>
      <c r="C439">
        <f>'13'!B46</f>
        <v>37</v>
      </c>
      <c r="E439">
        <f>'13'!D46</f>
        <v>559693.37</v>
      </c>
      <c r="F439">
        <f>'13'!E46</f>
        <v>760949.88</v>
      </c>
    </row>
    <row r="440" spans="1:6" x14ac:dyDescent="0.2">
      <c r="A440" t="str">
        <f t="shared" si="6"/>
        <v>ГОСТ 7667-8041</v>
      </c>
      <c r="B440" t="s">
        <v>83</v>
      </c>
      <c r="C440">
        <f>'13'!B47</f>
        <v>41</v>
      </c>
      <c r="E440">
        <f>'13'!D47</f>
        <v>660056.67000000004</v>
      </c>
      <c r="F440">
        <f>'13'!E47</f>
        <v>897368.97</v>
      </c>
    </row>
    <row r="441" spans="1:6" x14ac:dyDescent="0.2">
      <c r="A441" t="str">
        <f t="shared" si="6"/>
        <v>ГОСТ 7667-8044</v>
      </c>
      <c r="B441" t="s">
        <v>83</v>
      </c>
      <c r="C441">
        <f>'13'!B48</f>
        <v>44</v>
      </c>
      <c r="E441">
        <f>'13'!D48</f>
        <v>749388.29</v>
      </c>
      <c r="F441">
        <f>'13'!E48</f>
        <v>1018721.19</v>
      </c>
    </row>
    <row r="442" spans="1:6" x14ac:dyDescent="0.2">
      <c r="A442" t="str">
        <f t="shared" si="6"/>
        <v>ГОСТ 7667-8047</v>
      </c>
      <c r="B442" t="s">
        <v>83</v>
      </c>
      <c r="C442">
        <f>'13'!B49</f>
        <v>47</v>
      </c>
      <c r="E442">
        <f>'13'!D49</f>
        <v>857656.93</v>
      </c>
      <c r="F442">
        <f>'13'!E49</f>
        <v>1165856.2</v>
      </c>
    </row>
    <row r="443" spans="1:6" x14ac:dyDescent="0.2">
      <c r="A443" t="str">
        <f t="shared" si="6"/>
        <v>ГОСТ 7668-808,1</v>
      </c>
      <c r="B443" t="s">
        <v>85</v>
      </c>
      <c r="C443" s="117">
        <f>'14'!B6</f>
        <v>8.1</v>
      </c>
      <c r="E443" s="117">
        <f>'14'!D6</f>
        <v>52085.22</v>
      </c>
      <c r="F443" s="117">
        <f>'14'!E6</f>
        <v>60906.34</v>
      </c>
    </row>
    <row r="444" spans="1:6" x14ac:dyDescent="0.2">
      <c r="A444" t="str">
        <f t="shared" si="6"/>
        <v>ГОСТ 7668-809</v>
      </c>
      <c r="B444" t="s">
        <v>85</v>
      </c>
      <c r="C444" s="117">
        <f>'14'!B7</f>
        <v>9</v>
      </c>
      <c r="E444" s="117">
        <f>'14'!D7</f>
        <v>58341.16</v>
      </c>
      <c r="F444" s="117">
        <f>'14'!E7</f>
        <v>68343.199999999997</v>
      </c>
    </row>
    <row r="445" spans="1:6" x14ac:dyDescent="0.2">
      <c r="A445" t="str">
        <f t="shared" si="6"/>
        <v>ГОСТ 7668-809,7</v>
      </c>
      <c r="B445" t="s">
        <v>85</v>
      </c>
      <c r="C445" s="117">
        <f>'14'!B8</f>
        <v>9.6999999999999993</v>
      </c>
      <c r="E445" s="117">
        <f>'14'!D8</f>
        <v>69615.13</v>
      </c>
      <c r="F445" s="117">
        <f>'14'!E8</f>
        <v>81234.38</v>
      </c>
    </row>
    <row r="446" spans="1:6" x14ac:dyDescent="0.2">
      <c r="A446" t="str">
        <f t="shared" si="6"/>
        <v>ГОСТ 7668-8011,5</v>
      </c>
      <c r="B446" t="s">
        <v>85</v>
      </c>
      <c r="C446" s="117">
        <f>'14'!B9</f>
        <v>11.5</v>
      </c>
      <c r="E446" s="117">
        <f>'14'!D9</f>
        <v>77586.75</v>
      </c>
      <c r="F446" s="117">
        <f>'14'!E9</f>
        <v>94824.63</v>
      </c>
    </row>
    <row r="447" spans="1:6" x14ac:dyDescent="0.2">
      <c r="A447" t="str">
        <f t="shared" si="6"/>
        <v>ГОСТ 7668-8013,5</v>
      </c>
      <c r="B447" t="s">
        <v>85</v>
      </c>
      <c r="C447" s="117">
        <f>'14'!B10</f>
        <v>13.5</v>
      </c>
      <c r="E447" s="117">
        <f>'14'!D10</f>
        <v>93299.92</v>
      </c>
      <c r="F447" s="117">
        <f>'14'!E10</f>
        <v>117447.41</v>
      </c>
    </row>
    <row r="448" spans="1:6" x14ac:dyDescent="0.2">
      <c r="A448" t="str">
        <f t="shared" si="6"/>
        <v>ГОСТ 7668-8015</v>
      </c>
      <c r="B448" t="s">
        <v>85</v>
      </c>
      <c r="C448" s="117">
        <f>'14'!B11</f>
        <v>15</v>
      </c>
      <c r="E448" s="117">
        <f>'14'!D11</f>
        <v>105089.89</v>
      </c>
      <c r="F448" s="117">
        <f>'14'!E11</f>
        <v>132289.42000000001</v>
      </c>
    </row>
    <row r="449" spans="1:6" x14ac:dyDescent="0.2">
      <c r="A449" t="str">
        <f t="shared" si="6"/>
        <v>ГОСТ 7668-8016,5</v>
      </c>
      <c r="B449" t="s">
        <v>85</v>
      </c>
      <c r="C449" s="117">
        <f>'14'!B12</f>
        <v>16.5</v>
      </c>
      <c r="E449" s="117">
        <f>'14'!D12</f>
        <v>125637.18</v>
      </c>
      <c r="F449" s="117">
        <f>'14'!E12</f>
        <v>162884.97</v>
      </c>
    </row>
    <row r="450" spans="1:6" x14ac:dyDescent="0.2">
      <c r="A450" t="str">
        <f t="shared" si="6"/>
        <v>ГОСТ 7668-8018</v>
      </c>
      <c r="B450" t="s">
        <v>85</v>
      </c>
      <c r="C450" s="117">
        <f>'14'!B13</f>
        <v>18</v>
      </c>
      <c r="E450" s="117">
        <f>'14'!D13</f>
        <v>147449.23000000001</v>
      </c>
      <c r="F450" s="117">
        <f>'14'!E13</f>
        <v>191125.24</v>
      </c>
    </row>
    <row r="451" spans="1:6" x14ac:dyDescent="0.2">
      <c r="A451" t="str">
        <f t="shared" ref="A451:A504" si="7">B451&amp;C451</f>
        <v>ГОСТ 7668-8020</v>
      </c>
      <c r="B451" t="s">
        <v>85</v>
      </c>
      <c r="C451" s="117">
        <f>'14'!B14</f>
        <v>20</v>
      </c>
      <c r="E451" s="117">
        <f>'14'!D14</f>
        <v>173096.83</v>
      </c>
      <c r="F451" s="117">
        <f>'14'!E14</f>
        <v>224417.82</v>
      </c>
    </row>
    <row r="452" spans="1:6" x14ac:dyDescent="0.2">
      <c r="A452" t="str">
        <f t="shared" si="7"/>
        <v>ГОСТ 7668-8022</v>
      </c>
      <c r="B452" t="s">
        <v>85</v>
      </c>
      <c r="C452" s="117">
        <f>'14'!B15</f>
        <v>22</v>
      </c>
      <c r="E452" s="117">
        <f>'14'!D15</f>
        <v>195803.49</v>
      </c>
      <c r="F452" s="117">
        <f>'14'!E15</f>
        <v>253765.85</v>
      </c>
    </row>
    <row r="453" spans="1:6" x14ac:dyDescent="0.2">
      <c r="A453" t="str">
        <f t="shared" si="7"/>
        <v>ГОСТ 7668-8023,5</v>
      </c>
      <c r="B453" t="s">
        <v>85</v>
      </c>
      <c r="C453" s="117">
        <f>'14'!B16</f>
        <v>23.5</v>
      </c>
      <c r="E453" s="117">
        <f>'14'!D16</f>
        <v>226796.63</v>
      </c>
      <c r="F453" s="117">
        <f>'14'!E16</f>
        <v>294014.25</v>
      </c>
    </row>
    <row r="454" spans="1:6" x14ac:dyDescent="0.2">
      <c r="A454" t="str">
        <f t="shared" si="7"/>
        <v>ГОСТ 7668-8025,5</v>
      </c>
      <c r="B454" t="s">
        <v>85</v>
      </c>
      <c r="C454" s="117">
        <f>'14'!B17</f>
        <v>25.5</v>
      </c>
      <c r="E454" s="117">
        <f>'14'!D17</f>
        <v>260494.54</v>
      </c>
      <c r="F454" s="117">
        <f>'14'!E17</f>
        <v>337694.16</v>
      </c>
    </row>
    <row r="455" spans="1:6" x14ac:dyDescent="0.2">
      <c r="A455" t="str">
        <f t="shared" si="7"/>
        <v>ГОСТ 7668-8027</v>
      </c>
      <c r="B455" t="s">
        <v>85</v>
      </c>
      <c r="C455" s="117">
        <f>'14'!B18</f>
        <v>27</v>
      </c>
      <c r="E455" s="117">
        <f>'14'!D18</f>
        <v>291825.49</v>
      </c>
      <c r="F455" s="117">
        <f>'14'!E18</f>
        <v>378020.15</v>
      </c>
    </row>
    <row r="456" spans="1:6" x14ac:dyDescent="0.2">
      <c r="A456" t="str">
        <f t="shared" si="7"/>
        <v>ГОСТ 7668-8029</v>
      </c>
      <c r="B456" t="s">
        <v>85</v>
      </c>
      <c r="C456" s="117">
        <f>'14'!B19</f>
        <v>29</v>
      </c>
      <c r="E456" s="117">
        <f>'14'!D19</f>
        <v>332143.19</v>
      </c>
      <c r="F456" s="117">
        <f>'14'!E19</f>
        <v>430276.31</v>
      </c>
    </row>
    <row r="457" spans="1:6" x14ac:dyDescent="0.2">
      <c r="A457" t="str">
        <f t="shared" si="7"/>
        <v>ГОСТ 7668-8031</v>
      </c>
      <c r="B457" t="s">
        <v>85</v>
      </c>
      <c r="C457" s="117">
        <f>'14'!B20</f>
        <v>31</v>
      </c>
      <c r="E457" s="117">
        <f>'14'!D20</f>
        <v>374578.35</v>
      </c>
      <c r="F457" s="117">
        <f>'14'!E20</f>
        <v>485315.86</v>
      </c>
    </row>
    <row r="458" spans="1:6" x14ac:dyDescent="0.2">
      <c r="A458" t="str">
        <f t="shared" si="7"/>
        <v>ГОСТ 7668-8033</v>
      </c>
      <c r="B458" t="s">
        <v>85</v>
      </c>
      <c r="C458" s="117">
        <f>'14'!B21</f>
        <v>33</v>
      </c>
      <c r="E458" s="117">
        <f>'14'!D21</f>
        <v>425385.33</v>
      </c>
      <c r="F458" s="117">
        <f>'14'!E21</f>
        <v>551497.87</v>
      </c>
    </row>
    <row r="459" spans="1:6" x14ac:dyDescent="0.2">
      <c r="A459" t="str">
        <f t="shared" si="7"/>
        <v>ГОСТ 7668-8034,5</v>
      </c>
      <c r="B459" t="s">
        <v>85</v>
      </c>
      <c r="C459" s="117">
        <f>'14'!B22</f>
        <v>34.5</v>
      </c>
      <c r="E459" s="117">
        <f>'14'!D22</f>
        <v>463748.33</v>
      </c>
      <c r="F459" s="117">
        <f>'14'!E22</f>
        <v>601162.16</v>
      </c>
    </row>
    <row r="460" spans="1:6" x14ac:dyDescent="0.2">
      <c r="A460" t="str">
        <f t="shared" si="7"/>
        <v>ГОСТ 7668-8036,5</v>
      </c>
      <c r="B460" t="s">
        <v>85</v>
      </c>
      <c r="C460" s="117">
        <f>'14'!B23</f>
        <v>36.5</v>
      </c>
      <c r="E460" s="117">
        <f>'14'!D23</f>
        <v>504223.49</v>
      </c>
      <c r="F460" s="117">
        <f>'14'!E23</f>
        <v>653725.56999999995</v>
      </c>
    </row>
    <row r="461" spans="1:6" x14ac:dyDescent="0.2">
      <c r="A461" t="str">
        <f t="shared" si="7"/>
        <v>ГОСТ 7668-8038</v>
      </c>
      <c r="B461" t="s">
        <v>85</v>
      </c>
      <c r="C461" s="117">
        <f>'14'!B24</f>
        <v>38</v>
      </c>
      <c r="E461" s="117">
        <f>'14'!D24</f>
        <v>566326.48</v>
      </c>
      <c r="F461" s="117">
        <f>'14'!E24</f>
        <v>734082.18</v>
      </c>
    </row>
    <row r="462" spans="1:6" x14ac:dyDescent="0.2">
      <c r="A462" t="str">
        <f t="shared" si="7"/>
        <v>ГОСТ 7668-8039,5</v>
      </c>
      <c r="B462" t="s">
        <v>85</v>
      </c>
      <c r="C462" s="117">
        <f>'14'!B25</f>
        <v>39.5</v>
      </c>
      <c r="E462" s="117">
        <f>'14'!D25</f>
        <v>624832.54</v>
      </c>
      <c r="F462" s="117">
        <f>'14'!E25</f>
        <v>809719.27</v>
      </c>
    </row>
    <row r="463" spans="1:6" x14ac:dyDescent="0.2">
      <c r="A463" t="str">
        <f t="shared" si="7"/>
        <v>ГОСТ 7668-8042</v>
      </c>
      <c r="B463" t="s">
        <v>85</v>
      </c>
      <c r="C463" s="117">
        <f>'14'!B26</f>
        <v>42</v>
      </c>
      <c r="E463" s="117">
        <f>'14'!D26</f>
        <v>684740.7</v>
      </c>
      <c r="F463" s="117">
        <f>'14'!E26</f>
        <v>887285.06</v>
      </c>
    </row>
    <row r="464" spans="1:6" x14ac:dyDescent="0.2">
      <c r="A464" t="str">
        <f t="shared" si="7"/>
        <v>ГОСТ 7668-8043</v>
      </c>
      <c r="B464" t="s">
        <v>85</v>
      </c>
      <c r="C464" s="117">
        <f>'14'!B27</f>
        <v>43</v>
      </c>
      <c r="E464" s="117">
        <f>'14'!D27</f>
        <v>721911.68</v>
      </c>
      <c r="F464" s="117">
        <f>'14'!E27</f>
        <v>935352.57</v>
      </c>
    </row>
    <row r="465" spans="1:6" x14ac:dyDescent="0.2">
      <c r="A465" t="str">
        <f t="shared" si="7"/>
        <v>ГОСТ 7668-8044,5</v>
      </c>
      <c r="B465" t="s">
        <v>85</v>
      </c>
      <c r="C465" s="117">
        <f>'14'!B28</f>
        <v>44.5</v>
      </c>
      <c r="E465" s="117">
        <f>'14'!D28</f>
        <v>787767.21</v>
      </c>
      <c r="F465" s="117">
        <f>'14'!E28</f>
        <v>1020630.77</v>
      </c>
    </row>
    <row r="466" spans="1:6" x14ac:dyDescent="0.2">
      <c r="A466" t="str">
        <f t="shared" si="7"/>
        <v>ГОСТ 7668-8046,5</v>
      </c>
      <c r="B466" t="s">
        <v>85</v>
      </c>
      <c r="C466" s="117">
        <f>'14'!B29</f>
        <v>46.5</v>
      </c>
      <c r="E466" s="117">
        <f>'14'!D29</f>
        <v>835063.27</v>
      </c>
      <c r="F466" s="117">
        <f>'14'!E29</f>
        <v>1081779.24</v>
      </c>
    </row>
    <row r="467" spans="1:6" x14ac:dyDescent="0.2">
      <c r="A467" t="str">
        <f t="shared" si="7"/>
        <v>ГОСТ 7668-8048,5</v>
      </c>
      <c r="B467" t="s">
        <v>85</v>
      </c>
      <c r="C467" s="117">
        <f>'14'!B30</f>
        <v>48.5</v>
      </c>
      <c r="E467" s="117">
        <f>'14'!D30</f>
        <v>891193.55</v>
      </c>
      <c r="F467" s="117">
        <f>'14'!E30</f>
        <v>1154686.44</v>
      </c>
    </row>
    <row r="468" spans="1:6" x14ac:dyDescent="0.2">
      <c r="A468" t="str">
        <f t="shared" si="7"/>
        <v>ГОСТ 7668-8050,5</v>
      </c>
      <c r="B468" t="s">
        <v>85</v>
      </c>
      <c r="C468" s="117">
        <f>'14'!B31</f>
        <v>50.5</v>
      </c>
      <c r="E468" s="117">
        <f>'14'!D31</f>
        <v>966776.81</v>
      </c>
      <c r="F468" s="117">
        <f>'14'!E31</f>
        <v>1252910.8500000001</v>
      </c>
    </row>
    <row r="469" spans="1:6" x14ac:dyDescent="0.2">
      <c r="A469" t="str">
        <f t="shared" si="7"/>
        <v>ГОСТ 7668-8053,5</v>
      </c>
      <c r="B469" t="s">
        <v>85</v>
      </c>
      <c r="C469" s="117">
        <f>'14'!B32</f>
        <v>53.5</v>
      </c>
      <c r="E469" s="117">
        <f>'14'!D32</f>
        <v>1083413.96</v>
      </c>
      <c r="F469" s="117">
        <f>'14'!E32</f>
        <v>1404137.25</v>
      </c>
    </row>
    <row r="470" spans="1:6" x14ac:dyDescent="0.2">
      <c r="A470" t="str">
        <f t="shared" si="7"/>
        <v>ГОСТ 7668-8056</v>
      </c>
      <c r="B470" t="s">
        <v>85</v>
      </c>
      <c r="C470" s="117">
        <f>'14'!B33</f>
        <v>56</v>
      </c>
      <c r="E470" s="117">
        <f>'14'!D33</f>
        <v>1169682.1100000001</v>
      </c>
      <c r="F470" s="117">
        <f>'14'!E33</f>
        <v>1515896.06</v>
      </c>
    </row>
    <row r="471" spans="1:6" x14ac:dyDescent="0.2">
      <c r="A471" t="str">
        <f t="shared" si="7"/>
        <v>ГОСТ 7668-8058,5</v>
      </c>
      <c r="B471" t="s">
        <v>85</v>
      </c>
      <c r="C471" s="117">
        <f>'14'!B34</f>
        <v>58.5</v>
      </c>
      <c r="E471" s="117">
        <f>'14'!D34</f>
        <v>1261401.1499999999</v>
      </c>
      <c r="F471" s="117">
        <f>'14'!E34</f>
        <v>1634739.59</v>
      </c>
    </row>
    <row r="472" spans="1:6" x14ac:dyDescent="0.2">
      <c r="A472" t="str">
        <f t="shared" si="7"/>
        <v>ГОСТ 7668-8060,5</v>
      </c>
      <c r="B472" t="s">
        <v>85</v>
      </c>
      <c r="C472" s="117">
        <f>'14'!B35</f>
        <v>60.5</v>
      </c>
      <c r="E472" s="117">
        <f>'14'!D35</f>
        <v>1377448.4</v>
      </c>
      <c r="F472" s="117">
        <f>'14'!E35</f>
        <v>1785419.49</v>
      </c>
    </row>
    <row r="473" spans="1:6" x14ac:dyDescent="0.2">
      <c r="A473" t="str">
        <f t="shared" si="7"/>
        <v>ГОСТ 7668-8063</v>
      </c>
      <c r="B473" t="s">
        <v>85</v>
      </c>
      <c r="C473" s="117">
        <f>'14'!B36</f>
        <v>63</v>
      </c>
      <c r="E473" s="117">
        <f>'14'!D36</f>
        <v>1467807.63</v>
      </c>
      <c r="F473" s="117">
        <f>'14'!E36</f>
        <v>1901560.71</v>
      </c>
    </row>
    <row r="474" spans="1:6" x14ac:dyDescent="0.2">
      <c r="A474" t="str">
        <f t="shared" si="7"/>
        <v>ГОСТ 7668-8065</v>
      </c>
      <c r="B474" t="s">
        <v>85</v>
      </c>
      <c r="C474" s="117">
        <f>'14'!B37</f>
        <v>65</v>
      </c>
      <c r="E474" s="117">
        <f>'14'!D37</f>
        <v>1554040.35</v>
      </c>
      <c r="F474" s="117">
        <f>'14'!E37</f>
        <v>2013857.64</v>
      </c>
    </row>
    <row r="475" spans="1:6" x14ac:dyDescent="0.2">
      <c r="A475" t="str">
        <f t="shared" si="7"/>
        <v>ГОСТ 7668-8068</v>
      </c>
      <c r="B475" t="s">
        <v>85</v>
      </c>
      <c r="C475" s="117">
        <f>'14'!B38</f>
        <v>68</v>
      </c>
      <c r="E475" s="117">
        <f>'14'!D38</f>
        <v>1704565.64</v>
      </c>
      <c r="F475" s="117">
        <f>'14'!E38</f>
        <v>2208201.31</v>
      </c>
    </row>
    <row r="476" spans="1:6" x14ac:dyDescent="0.2">
      <c r="A476" t="str">
        <f t="shared" si="7"/>
        <v>ГОСТ 7668-8072</v>
      </c>
      <c r="B476" t="s">
        <v>85</v>
      </c>
      <c r="C476" s="117">
        <f>'14'!B39</f>
        <v>72</v>
      </c>
      <c r="E476" s="117">
        <f>'14'!D39</f>
        <v>1896360.16</v>
      </c>
      <c r="F476" s="117">
        <f>'14'!E39</f>
        <v>2456663.61</v>
      </c>
    </row>
    <row r="477" spans="1:6" x14ac:dyDescent="0.2">
      <c r="A477" t="str">
        <f t="shared" si="7"/>
        <v>ГОСТ 7669-808,6</v>
      </c>
      <c r="B477" t="s">
        <v>184</v>
      </c>
      <c r="C477">
        <f>'15'!B6</f>
        <v>8.6</v>
      </c>
      <c r="E477">
        <f>'15'!D6</f>
        <v>69873.990000000005</v>
      </c>
      <c r="F477">
        <f>'15'!E6</f>
        <v>92237.77</v>
      </c>
    </row>
    <row r="478" spans="1:6" x14ac:dyDescent="0.2">
      <c r="A478" t="str">
        <f t="shared" si="7"/>
        <v>ГОСТ 7669-8010,5</v>
      </c>
      <c r="B478" t="s">
        <v>184</v>
      </c>
      <c r="C478">
        <f>'15'!B7</f>
        <v>10.5</v>
      </c>
      <c r="E478">
        <f>'15'!D7</f>
        <v>90925.36</v>
      </c>
      <c r="F478">
        <f>'15'!E7</f>
        <v>120019.3</v>
      </c>
    </row>
    <row r="479" spans="1:6" x14ac:dyDescent="0.2">
      <c r="A479" t="str">
        <f t="shared" si="7"/>
        <v>ГОСТ 7669-8013</v>
      </c>
      <c r="B479" t="s">
        <v>184</v>
      </c>
      <c r="C479">
        <f>'15'!B8</f>
        <v>13</v>
      </c>
      <c r="E479">
        <f>'15'!D8</f>
        <v>118919.39</v>
      </c>
      <c r="F479">
        <f>'15'!E8</f>
        <v>157038.42000000001</v>
      </c>
    </row>
    <row r="480" spans="1:6" x14ac:dyDescent="0.2">
      <c r="A480" t="str">
        <f t="shared" si="7"/>
        <v>ГОСТ 7669-8014,5</v>
      </c>
      <c r="B480" t="s">
        <v>184</v>
      </c>
      <c r="C480">
        <f>'15'!B9</f>
        <v>14.5</v>
      </c>
      <c r="E480">
        <f>'15'!D9</f>
        <v>133493.53</v>
      </c>
      <c r="F480">
        <f>'15'!E9</f>
        <v>176181.6</v>
      </c>
    </row>
    <row r="481" spans="1:6" x14ac:dyDescent="0.2">
      <c r="A481" t="str">
        <f t="shared" si="7"/>
        <v>ГОСТ 7669-8016</v>
      </c>
      <c r="B481" t="s">
        <v>184</v>
      </c>
      <c r="C481">
        <f>'15'!B10</f>
        <v>16</v>
      </c>
      <c r="E481">
        <f>'15'!D10</f>
        <v>163052.84</v>
      </c>
      <c r="F481">
        <f>'15'!E10</f>
        <v>215300.64</v>
      </c>
    </row>
    <row r="482" spans="1:6" x14ac:dyDescent="0.2">
      <c r="A482" t="str">
        <f t="shared" si="7"/>
        <v>ГОСТ 7669-8017,5</v>
      </c>
      <c r="B482" t="s">
        <v>184</v>
      </c>
      <c r="C482">
        <f>'15'!B11</f>
        <v>17.5</v>
      </c>
      <c r="E482">
        <f>'15'!D11</f>
        <v>175413.17</v>
      </c>
      <c r="F482">
        <f>'15'!E11</f>
        <v>238659.27</v>
      </c>
    </row>
    <row r="483" spans="1:6" x14ac:dyDescent="0.2">
      <c r="A483" t="str">
        <f t="shared" si="7"/>
        <v>ГОСТ 7669-8019,5</v>
      </c>
      <c r="B483" t="s">
        <v>184</v>
      </c>
      <c r="C483">
        <f>'15'!B12</f>
        <v>19.5</v>
      </c>
      <c r="E483">
        <f>'15'!D12</f>
        <v>198857.23</v>
      </c>
      <c r="F483">
        <f>'15'!E12</f>
        <v>270487.14</v>
      </c>
    </row>
    <row r="484" spans="1:6" x14ac:dyDescent="0.2">
      <c r="A484" t="str">
        <f t="shared" si="7"/>
        <v>ГОСТ 7669-8021</v>
      </c>
      <c r="B484" t="s">
        <v>184</v>
      </c>
      <c r="C484">
        <f>'15'!B13</f>
        <v>21</v>
      </c>
      <c r="E484">
        <f>'15'!D13</f>
        <v>230441.95</v>
      </c>
      <c r="F484">
        <f>'15'!E13</f>
        <v>313478.96000000002</v>
      </c>
    </row>
    <row r="485" spans="1:6" x14ac:dyDescent="0.2">
      <c r="A485" t="str">
        <f t="shared" si="7"/>
        <v>ГОСТ 7669-8023</v>
      </c>
      <c r="B485" t="s">
        <v>184</v>
      </c>
      <c r="C485">
        <f>'15'!B14</f>
        <v>23</v>
      </c>
      <c r="E485">
        <f>'15'!D14</f>
        <v>264818.15000000002</v>
      </c>
      <c r="F485">
        <f>'15'!E14</f>
        <v>360141.85</v>
      </c>
    </row>
    <row r="486" spans="1:6" x14ac:dyDescent="0.2">
      <c r="A486" t="str">
        <f t="shared" si="7"/>
        <v>ГОСТ 7669-8025</v>
      </c>
      <c r="B486" t="s">
        <v>184</v>
      </c>
      <c r="C486">
        <f>'15'!B15</f>
        <v>25</v>
      </c>
      <c r="E486">
        <f>'15'!D15</f>
        <v>298861.38</v>
      </c>
      <c r="F486">
        <f>'15'!E15</f>
        <v>406553.64</v>
      </c>
    </row>
    <row r="487" spans="1:6" x14ac:dyDescent="0.2">
      <c r="A487" t="str">
        <f t="shared" si="7"/>
        <v>ГОСТ 7669-8026,5</v>
      </c>
      <c r="B487" t="s">
        <v>184</v>
      </c>
      <c r="C487">
        <f>'15'!B16</f>
        <v>26.5</v>
      </c>
      <c r="E487">
        <f>'15'!D16</f>
        <v>332081.84000000003</v>
      </c>
      <c r="F487">
        <f>'15'!E16</f>
        <v>451638.32</v>
      </c>
    </row>
    <row r="488" spans="1:6" x14ac:dyDescent="0.2">
      <c r="A488" t="str">
        <f t="shared" si="7"/>
        <v>ГОСТ 7669-8028</v>
      </c>
      <c r="B488" t="s">
        <v>184</v>
      </c>
      <c r="C488">
        <f>'15'!B17</f>
        <v>28</v>
      </c>
      <c r="E488">
        <f>'15'!D17</f>
        <v>376168.07</v>
      </c>
      <c r="F488">
        <f>'15'!E17</f>
        <v>511726.78</v>
      </c>
    </row>
    <row r="489" spans="1:6" x14ac:dyDescent="0.2">
      <c r="A489" t="str">
        <f t="shared" si="7"/>
        <v>ГОСТ 7669-8030</v>
      </c>
      <c r="B489" t="s">
        <v>184</v>
      </c>
      <c r="C489">
        <f>'15'!B18</f>
        <v>30</v>
      </c>
      <c r="E489">
        <f>'15'!D18</f>
        <v>426651.55</v>
      </c>
      <c r="F489">
        <f>'15'!E18</f>
        <v>580438.09</v>
      </c>
    </row>
    <row r="490" spans="1:6" x14ac:dyDescent="0.2">
      <c r="A490" t="str">
        <f t="shared" si="7"/>
        <v>ГОСТ 7669-8032,5</v>
      </c>
      <c r="B490" t="s">
        <v>184</v>
      </c>
      <c r="C490">
        <f>'15'!B19</f>
        <v>32.5</v>
      </c>
      <c r="E490">
        <f>'15'!D19</f>
        <v>478096.33</v>
      </c>
      <c r="F490">
        <f>'15'!E19</f>
        <v>650245.91</v>
      </c>
    </row>
    <row r="491" spans="1:6" x14ac:dyDescent="0.2">
      <c r="A491" t="str">
        <f t="shared" si="7"/>
        <v>ГОСТ 7669-8035,5</v>
      </c>
      <c r="B491" t="s">
        <v>184</v>
      </c>
      <c r="C491">
        <f>'15'!B20</f>
        <v>35.5</v>
      </c>
      <c r="E491">
        <f>'15'!D20</f>
        <v>567236.42000000004</v>
      </c>
      <c r="F491">
        <f>'15'!E20</f>
        <v>771695.98</v>
      </c>
    </row>
    <row r="492" spans="1:6" x14ac:dyDescent="0.2">
      <c r="A492" t="str">
        <f t="shared" si="7"/>
        <v>ГОСТ 7669-8036,5</v>
      </c>
      <c r="B492" t="s">
        <v>184</v>
      </c>
      <c r="C492">
        <f>'15'!B21</f>
        <v>36.5</v>
      </c>
      <c r="E492">
        <f>'15'!D21</f>
        <v>626124.16</v>
      </c>
      <c r="F492">
        <f>'15'!E21</f>
        <v>851704.52</v>
      </c>
    </row>
    <row r="493" spans="1:6" x14ac:dyDescent="0.2">
      <c r="A493" t="str">
        <f t="shared" si="7"/>
        <v>ГОСТ 7669-8039</v>
      </c>
      <c r="B493" t="s">
        <v>184</v>
      </c>
      <c r="C493">
        <f>'15'!B22</f>
        <v>39</v>
      </c>
      <c r="E493">
        <f>'15'!D22</f>
        <v>686710.31</v>
      </c>
      <c r="F493">
        <f>'15'!E22</f>
        <v>933772.52</v>
      </c>
    </row>
    <row r="494" spans="1:6" x14ac:dyDescent="0.2">
      <c r="A494" t="str">
        <f t="shared" si="7"/>
        <v>ГОСТ 7669-8041</v>
      </c>
      <c r="B494" t="s">
        <v>184</v>
      </c>
      <c r="C494">
        <f>'15'!B23</f>
        <v>41</v>
      </c>
      <c r="E494">
        <f>'15'!D23</f>
        <v>763377.2</v>
      </c>
      <c r="F494">
        <f>'15'!E23</f>
        <v>1037799.01</v>
      </c>
    </row>
    <row r="495" spans="1:6" x14ac:dyDescent="0.2">
      <c r="A495" t="str">
        <f t="shared" si="7"/>
        <v>ГОСТ 7669-8042</v>
      </c>
      <c r="B495" t="s">
        <v>184</v>
      </c>
      <c r="C495">
        <f>'15'!B24</f>
        <v>42</v>
      </c>
      <c r="E495">
        <f>'15'!D24</f>
        <v>831039.24</v>
      </c>
      <c r="F495">
        <f>'15'!E24</f>
        <v>1130409.6599999999</v>
      </c>
    </row>
    <row r="496" spans="1:6" x14ac:dyDescent="0.2">
      <c r="A496" t="str">
        <f t="shared" si="7"/>
        <v>ГОСТ 7669-8045,5</v>
      </c>
      <c r="B496" t="s">
        <v>184</v>
      </c>
      <c r="C496">
        <f>'15'!B25</f>
        <v>45.5</v>
      </c>
      <c r="E496">
        <f>'15'!D25</f>
        <v>929194.04</v>
      </c>
      <c r="F496">
        <f>'15'!E25</f>
        <v>1264048.18</v>
      </c>
    </row>
    <row r="497" spans="1:7" x14ac:dyDescent="0.2">
      <c r="A497" t="str">
        <f t="shared" si="7"/>
        <v>ГОСТ 7669-8049</v>
      </c>
      <c r="B497" t="s">
        <v>184</v>
      </c>
      <c r="C497">
        <f>'15'!B26</f>
        <v>49</v>
      </c>
      <c r="E497">
        <f>'15'!D26</f>
        <v>1081352.57</v>
      </c>
      <c r="F497">
        <f>'15'!E26</f>
        <v>1470899.06</v>
      </c>
    </row>
    <row r="498" spans="1:7" x14ac:dyDescent="0.2">
      <c r="A498" t="str">
        <f t="shared" si="7"/>
        <v>ГОСТ 7669-8052</v>
      </c>
      <c r="B498" t="s">
        <v>184</v>
      </c>
      <c r="C498">
        <f>'15'!B27</f>
        <v>52</v>
      </c>
      <c r="E498">
        <f>'15'!D27</f>
        <v>1200102.07</v>
      </c>
      <c r="F498">
        <f>'15'!E27</f>
        <v>1632188.51</v>
      </c>
    </row>
    <row r="499" spans="1:7" x14ac:dyDescent="0.2">
      <c r="A499" t="str">
        <f t="shared" si="7"/>
        <v>ГОСТ 7669-8057</v>
      </c>
      <c r="B499" t="s">
        <v>184</v>
      </c>
      <c r="C499">
        <f>'15'!B28</f>
        <v>57</v>
      </c>
      <c r="E499">
        <f>'15'!D28</f>
        <v>1397658.63</v>
      </c>
      <c r="F499">
        <f>'15'!E28</f>
        <v>1901099.99</v>
      </c>
    </row>
    <row r="500" spans="1:7" x14ac:dyDescent="0.2">
      <c r="A500" t="str">
        <f t="shared" si="7"/>
        <v>ГОСТ 7669-8060,5</v>
      </c>
      <c r="B500" t="s">
        <v>184</v>
      </c>
      <c r="C500">
        <f>'15'!B29</f>
        <v>60.5</v>
      </c>
      <c r="E500">
        <f>'15'!D29</f>
        <v>1527715.6</v>
      </c>
      <c r="F500">
        <f>'15'!E29</f>
        <v>2077136.87</v>
      </c>
    </row>
    <row r="501" spans="1:7" x14ac:dyDescent="0.2">
      <c r="A501" t="str">
        <f t="shared" si="7"/>
        <v>ГОСТ 7669-8061,5</v>
      </c>
      <c r="B501" t="s">
        <v>184</v>
      </c>
      <c r="C501">
        <f>'15'!B30</f>
        <v>61.5</v>
      </c>
      <c r="E501">
        <f>'15'!D30</f>
        <v>1625701.53</v>
      </c>
      <c r="F501">
        <f>'15'!E30</f>
        <v>2211371.1</v>
      </c>
    </row>
    <row r="502" spans="1:7" x14ac:dyDescent="0.2">
      <c r="A502" t="str">
        <f t="shared" si="7"/>
        <v>ГОСТ 7669-8064</v>
      </c>
      <c r="B502" t="s">
        <v>184</v>
      </c>
      <c r="C502">
        <f>'15'!B31</f>
        <v>64</v>
      </c>
      <c r="E502">
        <f>'15'!D31</f>
        <v>1711854.09</v>
      </c>
      <c r="F502">
        <f>'15'!E31</f>
        <v>2327753.46</v>
      </c>
    </row>
    <row r="503" spans="1:7" x14ac:dyDescent="0.2">
      <c r="A503" t="str">
        <f t="shared" si="7"/>
        <v>ГОСТ 7669-8068</v>
      </c>
      <c r="B503" t="s">
        <v>184</v>
      </c>
      <c r="C503">
        <f>'15'!B32</f>
        <v>68</v>
      </c>
      <c r="E503">
        <f>'15'!D32</f>
        <v>1808332.08</v>
      </c>
      <c r="F503">
        <f>'15'!E32</f>
        <v>2458870.77</v>
      </c>
    </row>
    <row r="504" spans="1:7" x14ac:dyDescent="0.2">
      <c r="A504" t="str">
        <f t="shared" si="7"/>
        <v>ГОСТ 7669-8072</v>
      </c>
      <c r="B504" t="s">
        <v>184</v>
      </c>
      <c r="C504">
        <f>'15'!B33</f>
        <v>72</v>
      </c>
      <c r="E504">
        <f>'15'!D33</f>
        <v>2021477.76</v>
      </c>
      <c r="F504">
        <f>'15'!E33</f>
        <v>2749289.02</v>
      </c>
    </row>
    <row r="505" spans="1:7" x14ac:dyDescent="0.2">
      <c r="A505" s="118" t="e">
        <f>B505&amp;C505&amp;G505</f>
        <v>#REF!</v>
      </c>
      <c r="B505" t="s">
        <v>185</v>
      </c>
      <c r="C505" s="117" t="e">
        <f>'15'!#REF!</f>
        <v>#REF!</v>
      </c>
      <c r="E505" s="117" t="e">
        <f>'15'!#REF!</f>
        <v>#REF!</v>
      </c>
      <c r="F505" s="117" t="e">
        <f>'15'!#REF!</f>
        <v>#REF!</v>
      </c>
      <c r="G505" t="s">
        <v>110</v>
      </c>
    </row>
    <row r="506" spans="1:7" x14ac:dyDescent="0.2">
      <c r="A506" s="118" t="e">
        <f t="shared" ref="A506:A514" si="8">B506&amp;C506&amp;G506</f>
        <v>#REF!</v>
      </c>
      <c r="B506" t="s">
        <v>185</v>
      </c>
      <c r="C506" s="117" t="e">
        <f>'15'!#REF!</f>
        <v>#REF!</v>
      </c>
      <c r="E506" s="117" t="e">
        <f>'15'!#REF!</f>
        <v>#REF!</v>
      </c>
      <c r="F506" s="117" t="e">
        <f>'15'!#REF!</f>
        <v>#REF!</v>
      </c>
      <c r="G506" t="s">
        <v>110</v>
      </c>
    </row>
    <row r="507" spans="1:7" x14ac:dyDescent="0.2">
      <c r="A507" s="118" t="e">
        <f t="shared" si="8"/>
        <v>#REF!</v>
      </c>
      <c r="B507" t="s">
        <v>185</v>
      </c>
      <c r="C507" s="117" t="e">
        <f>'15'!#REF!</f>
        <v>#REF!</v>
      </c>
      <c r="E507" s="117" t="e">
        <f>'15'!#REF!</f>
        <v>#REF!</v>
      </c>
      <c r="F507" s="117" t="e">
        <f>'15'!#REF!</f>
        <v>#REF!</v>
      </c>
      <c r="G507" t="s">
        <v>110</v>
      </c>
    </row>
    <row r="508" spans="1:7" x14ac:dyDescent="0.2">
      <c r="A508" s="118" t="e">
        <f t="shared" si="8"/>
        <v>#REF!</v>
      </c>
      <c r="B508" t="s">
        <v>185</v>
      </c>
      <c r="C508" s="117" t="e">
        <f>'15'!#REF!</f>
        <v>#REF!</v>
      </c>
      <c r="E508" s="117" t="e">
        <f>'15'!#REF!</f>
        <v>#REF!</v>
      </c>
      <c r="F508" s="117" t="e">
        <f>'15'!#REF!</f>
        <v>#REF!</v>
      </c>
      <c r="G508" t="s">
        <v>110</v>
      </c>
    </row>
    <row r="509" spans="1:7" x14ac:dyDescent="0.2">
      <c r="A509" s="118" t="e">
        <f t="shared" si="8"/>
        <v>#REF!</v>
      </c>
      <c r="B509" t="s">
        <v>185</v>
      </c>
      <c r="C509" s="117" t="e">
        <f>'15'!#REF!</f>
        <v>#REF!</v>
      </c>
      <c r="E509" s="117" t="e">
        <f>'15'!#REF!</f>
        <v>#REF!</v>
      </c>
      <c r="F509" s="117" t="e">
        <f>'15'!#REF!</f>
        <v>#REF!</v>
      </c>
      <c r="G509" t="s">
        <v>110</v>
      </c>
    </row>
    <row r="510" spans="1:7" x14ac:dyDescent="0.2">
      <c r="A510" s="118" t="e">
        <f t="shared" si="8"/>
        <v>#REF!</v>
      </c>
      <c r="B510" t="s">
        <v>185</v>
      </c>
      <c r="C510" s="117" t="e">
        <f>'15'!#REF!</f>
        <v>#REF!</v>
      </c>
      <c r="E510" s="117" t="e">
        <f>'15'!#REF!</f>
        <v>#REF!</v>
      </c>
      <c r="F510" s="117" t="e">
        <f>'15'!#REF!</f>
        <v>#REF!</v>
      </c>
      <c r="G510" s="114" t="s">
        <v>111</v>
      </c>
    </row>
    <row r="511" spans="1:7" x14ac:dyDescent="0.2">
      <c r="A511" s="118" t="e">
        <f t="shared" si="8"/>
        <v>#REF!</v>
      </c>
      <c r="B511" t="s">
        <v>185</v>
      </c>
      <c r="C511" s="117" t="e">
        <f>'15'!#REF!</f>
        <v>#REF!</v>
      </c>
      <c r="E511" s="117" t="e">
        <f>'15'!#REF!</f>
        <v>#REF!</v>
      </c>
      <c r="F511" s="117" t="e">
        <f>'15'!#REF!</f>
        <v>#REF!</v>
      </c>
      <c r="G511" s="114" t="s">
        <v>111</v>
      </c>
    </row>
    <row r="512" spans="1:7" x14ac:dyDescent="0.2">
      <c r="A512" s="118" t="e">
        <f t="shared" si="8"/>
        <v>#REF!</v>
      </c>
      <c r="B512" t="s">
        <v>185</v>
      </c>
      <c r="C512" s="117" t="e">
        <f>'15'!#REF!</f>
        <v>#REF!</v>
      </c>
      <c r="E512" s="117" t="e">
        <f>'15'!#REF!</f>
        <v>#REF!</v>
      </c>
      <c r="F512" s="117" t="e">
        <f>'15'!#REF!</f>
        <v>#REF!</v>
      </c>
      <c r="G512" s="114" t="s">
        <v>111</v>
      </c>
    </row>
    <row r="513" spans="1:7" x14ac:dyDescent="0.2">
      <c r="A513" s="118" t="e">
        <f t="shared" si="8"/>
        <v>#REF!</v>
      </c>
      <c r="B513" t="s">
        <v>185</v>
      </c>
      <c r="C513" s="117" t="e">
        <f>'15'!#REF!</f>
        <v>#REF!</v>
      </c>
      <c r="E513" s="117" t="e">
        <f>'15'!#REF!</f>
        <v>#REF!</v>
      </c>
      <c r="F513" s="117" t="e">
        <f>'15'!#REF!</f>
        <v>#REF!</v>
      </c>
      <c r="G513" s="114" t="s">
        <v>111</v>
      </c>
    </row>
    <row r="514" spans="1:7" x14ac:dyDescent="0.2">
      <c r="A514" s="118" t="e">
        <f t="shared" si="8"/>
        <v>#REF!</v>
      </c>
      <c r="B514" t="s">
        <v>185</v>
      </c>
      <c r="C514" s="117" t="e">
        <f>'15'!#REF!</f>
        <v>#REF!</v>
      </c>
      <c r="E514" s="117" t="e">
        <f>'15'!#REF!</f>
        <v>#REF!</v>
      </c>
      <c r="F514" s="117" t="e">
        <f>'15'!#REF!</f>
        <v>#REF!</v>
      </c>
      <c r="G514" s="114" t="s">
        <v>111</v>
      </c>
    </row>
    <row r="515" spans="1:7" x14ac:dyDescent="0.2">
      <c r="A515" t="e">
        <f t="shared" ref="A515:A570" si="9">B515&amp;C515</f>
        <v>#REF!</v>
      </c>
      <c r="B515" t="s">
        <v>186</v>
      </c>
      <c r="C515" t="e">
        <f>'15'!#REF!</f>
        <v>#REF!</v>
      </c>
      <c r="E515" t="e">
        <f>'15'!#REF!</f>
        <v>#REF!</v>
      </c>
      <c r="F515" t="e">
        <f>'15'!#REF!</f>
        <v>#REF!</v>
      </c>
    </row>
    <row r="516" spans="1:7" x14ac:dyDescent="0.2">
      <c r="A516" t="e">
        <f t="shared" si="9"/>
        <v>#REF!</v>
      </c>
      <c r="B516" t="s">
        <v>186</v>
      </c>
      <c r="C516" t="e">
        <f>'15'!#REF!</f>
        <v>#REF!</v>
      </c>
      <c r="E516" t="e">
        <f>'15'!#REF!</f>
        <v>#REF!</v>
      </c>
      <c r="F516" t="e">
        <f>'15'!#REF!</f>
        <v>#REF!</v>
      </c>
    </row>
    <row r="517" spans="1:7" x14ac:dyDescent="0.2">
      <c r="A517" t="e">
        <f t="shared" si="9"/>
        <v>#REF!</v>
      </c>
      <c r="B517" t="s">
        <v>186</v>
      </c>
      <c r="C517" t="e">
        <f>'15'!#REF!</f>
        <v>#REF!</v>
      </c>
      <c r="E517" t="e">
        <f>'15'!#REF!</f>
        <v>#REF!</v>
      </c>
      <c r="F517" t="e">
        <f>'15'!#REF!</f>
        <v>#REF!</v>
      </c>
    </row>
    <row r="518" spans="1:7" x14ac:dyDescent="0.2">
      <c r="A518" t="e">
        <f t="shared" si="9"/>
        <v>#REF!</v>
      </c>
      <c r="B518" t="s">
        <v>186</v>
      </c>
      <c r="C518" t="e">
        <f>'15'!#REF!</f>
        <v>#REF!</v>
      </c>
      <c r="E518" t="e">
        <f>'15'!#REF!</f>
        <v>#REF!</v>
      </c>
      <c r="F518" t="e">
        <f>'15'!#REF!</f>
        <v>#REF!</v>
      </c>
    </row>
    <row r="519" spans="1:7" x14ac:dyDescent="0.2">
      <c r="A519" t="e">
        <f t="shared" si="9"/>
        <v>#REF!</v>
      </c>
      <c r="B519" t="s">
        <v>186</v>
      </c>
      <c r="C519" t="e">
        <f>'15'!#REF!</f>
        <v>#REF!</v>
      </c>
      <c r="E519" t="e">
        <f>'15'!#REF!</f>
        <v>#REF!</v>
      </c>
      <c r="F519" t="e">
        <f>'15'!#REF!</f>
        <v>#REF!</v>
      </c>
    </row>
    <row r="520" spans="1:7" x14ac:dyDescent="0.2">
      <c r="A520" t="e">
        <f t="shared" si="9"/>
        <v>#REF!</v>
      </c>
      <c r="B520" t="s">
        <v>186</v>
      </c>
      <c r="C520" t="e">
        <f>'15'!#REF!</f>
        <v>#REF!</v>
      </c>
      <c r="E520" t="e">
        <f>'15'!#REF!</f>
        <v>#REF!</v>
      </c>
      <c r="F520" t="e">
        <f>'15'!#REF!</f>
        <v>#REF!</v>
      </c>
    </row>
    <row r="521" spans="1:7" x14ac:dyDescent="0.2">
      <c r="A521" t="e">
        <f t="shared" si="9"/>
        <v>#REF!</v>
      </c>
      <c r="B521" t="s">
        <v>126</v>
      </c>
      <c r="C521" s="117" t="e">
        <f>'15'!#REF!</f>
        <v>#REF!</v>
      </c>
      <c r="E521" s="117" t="e">
        <f>'15'!#REF!</f>
        <v>#REF!</v>
      </c>
      <c r="F521" s="117" t="e">
        <f>'15'!#REF!</f>
        <v>#REF!</v>
      </c>
    </row>
    <row r="522" spans="1:7" x14ac:dyDescent="0.2">
      <c r="A522" t="e">
        <f t="shared" si="9"/>
        <v>#REF!</v>
      </c>
      <c r="B522" t="s">
        <v>126</v>
      </c>
      <c r="C522" s="117" t="e">
        <f>'15'!#REF!</f>
        <v>#REF!</v>
      </c>
      <c r="E522" s="117" t="e">
        <f>'15'!#REF!</f>
        <v>#REF!</v>
      </c>
      <c r="F522" s="117" t="e">
        <f>'15'!#REF!</f>
        <v>#REF!</v>
      </c>
    </row>
    <row r="523" spans="1:7" x14ac:dyDescent="0.2">
      <c r="A523" t="e">
        <f t="shared" si="9"/>
        <v>#REF!</v>
      </c>
      <c r="B523" t="s">
        <v>126</v>
      </c>
      <c r="C523" s="117" t="e">
        <f>'15'!#REF!</f>
        <v>#REF!</v>
      </c>
      <c r="E523" s="117" t="e">
        <f>'15'!#REF!</f>
        <v>#REF!</v>
      </c>
      <c r="F523" s="117" t="e">
        <f>'15'!#REF!</f>
        <v>#REF!</v>
      </c>
    </row>
    <row r="524" spans="1:7" x14ac:dyDescent="0.2">
      <c r="A524" t="e">
        <f t="shared" si="9"/>
        <v>#REF!</v>
      </c>
      <c r="B524" t="s">
        <v>126</v>
      </c>
      <c r="C524" s="117" t="e">
        <f>'15'!#REF!</f>
        <v>#REF!</v>
      </c>
      <c r="E524" s="117" t="e">
        <f>'15'!#REF!</f>
        <v>#REF!</v>
      </c>
      <c r="F524" s="117" t="e">
        <f>'15'!#REF!</f>
        <v>#REF!</v>
      </c>
    </row>
    <row r="525" spans="1:7" x14ac:dyDescent="0.2">
      <c r="A525" t="e">
        <f t="shared" si="9"/>
        <v>#REF!</v>
      </c>
      <c r="B525" t="s">
        <v>126</v>
      </c>
      <c r="C525" s="117" t="e">
        <f>'15'!#REF!</f>
        <v>#REF!</v>
      </c>
      <c r="E525" s="117" t="e">
        <f>'15'!#REF!</f>
        <v>#REF!</v>
      </c>
      <c r="F525" s="117" t="e">
        <f>'15'!#REF!</f>
        <v>#REF!</v>
      </c>
    </row>
    <row r="526" spans="1:7" x14ac:dyDescent="0.2">
      <c r="A526" t="str">
        <f t="shared" si="9"/>
        <v>ГОСТ 14954-805,1</v>
      </c>
      <c r="B526" t="s">
        <v>88</v>
      </c>
      <c r="C526">
        <f>'16'!B6</f>
        <v>5.0999999999999996</v>
      </c>
      <c r="E526">
        <f>'16'!D6</f>
        <v>33851.74</v>
      </c>
      <c r="F526">
        <f>'16'!E6</f>
        <v>41369.71</v>
      </c>
    </row>
    <row r="527" spans="1:7" x14ac:dyDescent="0.2">
      <c r="A527" t="str">
        <f t="shared" si="9"/>
        <v>ГОСТ 14954-805,5</v>
      </c>
      <c r="B527" t="s">
        <v>88</v>
      </c>
      <c r="C527">
        <f>'16'!B7</f>
        <v>5.5</v>
      </c>
      <c r="E527">
        <f>'16'!D7</f>
        <v>35645.410000000003</v>
      </c>
      <c r="F527">
        <f>'16'!E7</f>
        <v>43575.519999999997</v>
      </c>
    </row>
    <row r="528" spans="1:7" x14ac:dyDescent="0.2">
      <c r="A528" t="str">
        <f t="shared" si="9"/>
        <v>ГОСТ 14954-806,7</v>
      </c>
      <c r="B528" t="s">
        <v>88</v>
      </c>
      <c r="C528">
        <f>'16'!B8</f>
        <v>6.7</v>
      </c>
      <c r="E528">
        <f>'16'!D8</f>
        <v>42761.7</v>
      </c>
      <c r="F528">
        <f>'16'!E8</f>
        <v>52286.19</v>
      </c>
    </row>
    <row r="529" spans="1:6" x14ac:dyDescent="0.2">
      <c r="A529" t="str">
        <f t="shared" si="9"/>
        <v>ГОСТ 14954-808</v>
      </c>
      <c r="B529" t="s">
        <v>88</v>
      </c>
      <c r="C529">
        <f>'16'!B9</f>
        <v>8</v>
      </c>
      <c r="E529">
        <f>'16'!D9</f>
        <v>48768.24</v>
      </c>
      <c r="F529">
        <f>'16'!E9</f>
        <v>59604.7</v>
      </c>
    </row>
    <row r="530" spans="1:6" x14ac:dyDescent="0.2">
      <c r="A530" t="str">
        <f t="shared" si="9"/>
        <v>ГОСТ 14954-808,8</v>
      </c>
      <c r="B530" t="s">
        <v>88</v>
      </c>
      <c r="C530">
        <f>'16'!B10</f>
        <v>8.8000000000000007</v>
      </c>
      <c r="E530">
        <f>'16'!D10</f>
        <v>60741.279999999999</v>
      </c>
      <c r="F530">
        <f>'16'!E10</f>
        <v>74228.929999999993</v>
      </c>
    </row>
    <row r="531" spans="1:6" x14ac:dyDescent="0.2">
      <c r="A531" t="str">
        <f t="shared" si="9"/>
        <v>ГОСТ 14954-809,7</v>
      </c>
      <c r="B531" t="s">
        <v>88</v>
      </c>
      <c r="C531">
        <f>'16'!B11</f>
        <v>9.6999999999999993</v>
      </c>
      <c r="E531">
        <f>'16'!D11</f>
        <v>60301.83</v>
      </c>
      <c r="F531">
        <f>'16'!E11</f>
        <v>77441.149999999994</v>
      </c>
    </row>
    <row r="532" spans="1:6" x14ac:dyDescent="0.2">
      <c r="A532" t="str">
        <f t="shared" si="9"/>
        <v>ГОСТ 14954-8011</v>
      </c>
      <c r="B532" t="s">
        <v>88</v>
      </c>
      <c r="C532">
        <f>'16'!B12</f>
        <v>11</v>
      </c>
      <c r="E532">
        <f>'16'!D12</f>
        <v>72273.56</v>
      </c>
      <c r="F532">
        <f>'16'!E12</f>
        <v>92803.6</v>
      </c>
    </row>
    <row r="533" spans="1:6" x14ac:dyDescent="0.2">
      <c r="A533" t="str">
        <f t="shared" si="9"/>
        <v>ГОСТ 14954-8012</v>
      </c>
      <c r="B533" t="s">
        <v>88</v>
      </c>
      <c r="C533">
        <f>'16'!B13</f>
        <v>12</v>
      </c>
      <c r="E533">
        <f>'16'!D13</f>
        <v>82100.77</v>
      </c>
      <c r="F533">
        <f>'16'!E13</f>
        <v>105435.4</v>
      </c>
    </row>
    <row r="534" spans="1:6" x14ac:dyDescent="0.2">
      <c r="A534" t="str">
        <f t="shared" si="9"/>
        <v>ГОСТ 14954-8012,5</v>
      </c>
      <c r="B534" t="s">
        <v>88</v>
      </c>
      <c r="C534">
        <f>'16'!B14</f>
        <v>12.5</v>
      </c>
      <c r="E534">
        <f>'16'!D14</f>
        <v>86469.13</v>
      </c>
      <c r="F534">
        <f>'16'!E14</f>
        <v>111023.95</v>
      </c>
    </row>
    <row r="535" spans="1:6" x14ac:dyDescent="0.2">
      <c r="A535" t="str">
        <f t="shared" si="9"/>
        <v>ГОСТ 14954-8014</v>
      </c>
      <c r="B535" t="s">
        <v>88</v>
      </c>
      <c r="C535">
        <f>'16'!B15</f>
        <v>14</v>
      </c>
      <c r="E535">
        <f>'16'!D15</f>
        <v>97524.55</v>
      </c>
      <c r="F535">
        <f>'16'!E15</f>
        <v>125179.49</v>
      </c>
    </row>
    <row r="536" spans="1:6" x14ac:dyDescent="0.2">
      <c r="A536" t="str">
        <f t="shared" si="9"/>
        <v>ГОСТ 14954-8015</v>
      </c>
      <c r="B536" t="s">
        <v>88</v>
      </c>
      <c r="C536">
        <f>'16'!B16</f>
        <v>15</v>
      </c>
      <c r="E536">
        <f>'16'!D16</f>
        <v>108167.03999999999</v>
      </c>
      <c r="F536">
        <f>'16'!E16</f>
        <v>138778.65</v>
      </c>
    </row>
    <row r="537" spans="1:6" x14ac:dyDescent="0.2">
      <c r="A537" t="str">
        <f t="shared" si="9"/>
        <v>ГОСТ 14954-8016,5</v>
      </c>
      <c r="B537" t="s">
        <v>88</v>
      </c>
      <c r="C537">
        <f>'16'!B17</f>
        <v>16.5</v>
      </c>
      <c r="E537">
        <f>'16'!D17</f>
        <v>128052.33</v>
      </c>
      <c r="F537">
        <f>'16'!E17</f>
        <v>164283.74</v>
      </c>
    </row>
    <row r="538" spans="1:6" x14ac:dyDescent="0.2">
      <c r="A538" t="str">
        <f t="shared" si="9"/>
        <v>ГОСТ 14954-8018</v>
      </c>
      <c r="B538" t="s">
        <v>88</v>
      </c>
      <c r="C538">
        <f>'16'!B18</f>
        <v>18</v>
      </c>
      <c r="E538">
        <f>'16'!D18</f>
        <v>149879.03</v>
      </c>
      <c r="F538">
        <f>'16'!E18</f>
        <v>192257.97</v>
      </c>
    </row>
    <row r="539" spans="1:6" x14ac:dyDescent="0.2">
      <c r="A539" t="str">
        <f t="shared" si="9"/>
        <v>ГОСТ 14954-8019</v>
      </c>
      <c r="B539" t="s">
        <v>88</v>
      </c>
      <c r="C539">
        <f>'16'!B19</f>
        <v>19</v>
      </c>
      <c r="E539">
        <f>'16'!D19</f>
        <v>171796.5</v>
      </c>
      <c r="F539">
        <f>'16'!E19</f>
        <v>220412.79</v>
      </c>
    </row>
    <row r="540" spans="1:6" x14ac:dyDescent="0.2">
      <c r="A540" t="str">
        <f t="shared" si="9"/>
        <v>ГОСТ 14954-8020,5</v>
      </c>
      <c r="B540" t="s">
        <v>88</v>
      </c>
      <c r="C540">
        <f>'16'!B20</f>
        <v>20.5</v>
      </c>
      <c r="E540">
        <f>'16'!D20</f>
        <v>198594.73</v>
      </c>
      <c r="F540">
        <f>'16'!E20</f>
        <v>254720.72</v>
      </c>
    </row>
    <row r="541" spans="1:6" x14ac:dyDescent="0.2">
      <c r="A541" t="str">
        <f t="shared" si="9"/>
        <v>ГОСТ 14954-8022</v>
      </c>
      <c r="B541" t="s">
        <v>88</v>
      </c>
      <c r="C541">
        <f>'16'!B21</f>
        <v>22</v>
      </c>
      <c r="E541">
        <f>'16'!D21</f>
        <v>209559.19</v>
      </c>
      <c r="F541">
        <f>'16'!E21</f>
        <v>268901.92</v>
      </c>
    </row>
    <row r="542" spans="1:6" x14ac:dyDescent="0.2">
      <c r="A542" t="str">
        <f t="shared" si="9"/>
        <v>ГОСТ 14954-8023</v>
      </c>
      <c r="B542" t="s">
        <v>88</v>
      </c>
      <c r="C542">
        <f>'16'!B22</f>
        <v>23</v>
      </c>
      <c r="E542">
        <f>'16'!D22</f>
        <v>237183.54</v>
      </c>
      <c r="F542">
        <f>'16'!E22</f>
        <v>304431.17</v>
      </c>
    </row>
    <row r="543" spans="1:6" x14ac:dyDescent="0.2">
      <c r="A543" t="str">
        <f t="shared" si="9"/>
        <v>ГОСТ 14954-8025</v>
      </c>
      <c r="B543" t="s">
        <v>88</v>
      </c>
      <c r="C543">
        <f>'16'!B23</f>
        <v>25</v>
      </c>
      <c r="E543">
        <f>'16'!D23</f>
        <v>262496.3</v>
      </c>
      <c r="F543">
        <f>'16'!E23</f>
        <v>336711.08</v>
      </c>
    </row>
    <row r="544" spans="1:6" x14ac:dyDescent="0.2">
      <c r="A544" t="str">
        <f t="shared" si="9"/>
        <v>ГОСТ 14954-8027</v>
      </c>
      <c r="B544" t="s">
        <v>88</v>
      </c>
      <c r="C544">
        <f>'16'!B24</f>
        <v>27</v>
      </c>
      <c r="E544">
        <f>'16'!D24</f>
        <v>325901.90000000002</v>
      </c>
      <c r="F544">
        <f>'16'!E24</f>
        <v>417974.28</v>
      </c>
    </row>
    <row r="545" spans="1:6" x14ac:dyDescent="0.2">
      <c r="A545" t="str">
        <f t="shared" si="9"/>
        <v>ГОСТ 14954-8029,5</v>
      </c>
      <c r="B545" t="s">
        <v>88</v>
      </c>
      <c r="C545">
        <f>'16'!B25</f>
        <v>29.5</v>
      </c>
      <c r="E545">
        <f>'16'!D25</f>
        <v>378996.25</v>
      </c>
      <c r="F545">
        <f>'16'!E25</f>
        <v>501048.49</v>
      </c>
    </row>
    <row r="546" spans="1:6" x14ac:dyDescent="0.2">
      <c r="A546" t="str">
        <f t="shared" si="9"/>
        <v>ГОСТ 14954-8031</v>
      </c>
      <c r="B546" t="s">
        <v>88</v>
      </c>
      <c r="C546">
        <f>'16'!B26</f>
        <v>31</v>
      </c>
      <c r="E546">
        <f>'16'!D26</f>
        <v>419579.66</v>
      </c>
      <c r="F546">
        <f>'16'!E26</f>
        <v>554588.80000000005</v>
      </c>
    </row>
    <row r="547" spans="1:6" x14ac:dyDescent="0.2">
      <c r="A547" t="str">
        <f t="shared" si="9"/>
        <v>ГОСТ 14954-8033</v>
      </c>
      <c r="B547" t="s">
        <v>88</v>
      </c>
      <c r="C547">
        <f>'16'!B27</f>
        <v>33</v>
      </c>
      <c r="E547">
        <f>'16'!D27</f>
        <v>463553.19</v>
      </c>
      <c r="F547">
        <f>'16'!E27</f>
        <v>612384.72</v>
      </c>
    </row>
    <row r="548" spans="1:6" x14ac:dyDescent="0.2">
      <c r="A548" t="str">
        <f t="shared" si="9"/>
        <v>ГОСТ 14954-8036</v>
      </c>
      <c r="B548" t="s">
        <v>88</v>
      </c>
      <c r="C548">
        <f>'16'!B28</f>
        <v>36</v>
      </c>
      <c r="E548">
        <f>'16'!D28</f>
        <v>543931.96</v>
      </c>
      <c r="F548">
        <f>'16'!E28</f>
        <v>718660.05</v>
      </c>
    </row>
    <row r="549" spans="1:6" x14ac:dyDescent="0.2">
      <c r="A549" t="str">
        <f t="shared" si="9"/>
        <v>ГОСТ 14954-8038,5</v>
      </c>
      <c r="B549" t="s">
        <v>88</v>
      </c>
      <c r="C549">
        <f>'16'!B29</f>
        <v>38.5</v>
      </c>
      <c r="E549">
        <f>'16'!D29</f>
        <v>610014.64</v>
      </c>
      <c r="F549">
        <f>'16'!E29</f>
        <v>806217.6</v>
      </c>
    </row>
    <row r="550" spans="1:6" x14ac:dyDescent="0.2">
      <c r="A550" t="str">
        <f t="shared" si="9"/>
        <v>ГОСТ 14954-8041</v>
      </c>
      <c r="B550" t="s">
        <v>88</v>
      </c>
      <c r="C550">
        <f>'16'!B30</f>
        <v>41</v>
      </c>
      <c r="E550">
        <f>'16'!D30</f>
        <v>693253.93</v>
      </c>
      <c r="F550">
        <f>'16'!E30</f>
        <v>916504.79</v>
      </c>
    </row>
    <row r="551" spans="1:6" x14ac:dyDescent="0.2">
      <c r="A551" t="str">
        <f t="shared" si="9"/>
        <v>ГОСТ 14954-8046,5</v>
      </c>
      <c r="B551" t="s">
        <v>88</v>
      </c>
      <c r="C551">
        <f>'16'!B31</f>
        <v>46.5</v>
      </c>
      <c r="E551">
        <f>'16'!D31</f>
        <v>885313.06</v>
      </c>
      <c r="F551">
        <f>'16'!E31</f>
        <v>1169713.92</v>
      </c>
    </row>
    <row r="552" spans="1:6" x14ac:dyDescent="0.2">
      <c r="A552" t="str">
        <f t="shared" si="9"/>
        <v>ГОСТ 14954-8049,5</v>
      </c>
      <c r="B552" t="s">
        <v>88</v>
      </c>
      <c r="C552">
        <f>'16'!B32</f>
        <v>49.5</v>
      </c>
      <c r="E552">
        <f>'16'!D32</f>
        <v>1000058.03</v>
      </c>
      <c r="F552">
        <f>'16'!E32</f>
        <v>1321443.22</v>
      </c>
    </row>
    <row r="553" spans="1:6" x14ac:dyDescent="0.2">
      <c r="A553" t="str">
        <f t="shared" si="9"/>
        <v>ГОСТ 14954-8055</v>
      </c>
      <c r="B553" t="s">
        <v>88</v>
      </c>
      <c r="C553">
        <f>'16'!B33</f>
        <v>55</v>
      </c>
      <c r="E553">
        <f>'16'!D33</f>
        <v>1226273.51</v>
      </c>
      <c r="F553">
        <f>'16'!E33</f>
        <v>1620653.23</v>
      </c>
    </row>
    <row r="554" spans="1:6" x14ac:dyDescent="0.2">
      <c r="A554" t="str">
        <f t="shared" si="9"/>
        <v>ГОСТ 16827-8136</v>
      </c>
      <c r="B554" t="s">
        <v>106</v>
      </c>
      <c r="C554" s="117">
        <f>'17'!B6</f>
        <v>36</v>
      </c>
      <c r="E554" s="117">
        <f>'17'!D6</f>
        <v>939438.32</v>
      </c>
      <c r="F554" s="117">
        <f>'17'!E6</f>
        <v>1279084.45</v>
      </c>
    </row>
    <row r="555" spans="1:6" x14ac:dyDescent="0.2">
      <c r="A555" t="str">
        <f t="shared" si="9"/>
        <v>ГОСТ 16827-8140</v>
      </c>
      <c r="B555" t="s">
        <v>106</v>
      </c>
      <c r="C555" s="117">
        <f>'17'!B7</f>
        <v>40</v>
      </c>
      <c r="E555" s="117">
        <f>'17'!D7</f>
        <v>0</v>
      </c>
      <c r="F555" s="117">
        <f>'17'!E7</f>
        <v>1401209.66</v>
      </c>
    </row>
    <row r="556" spans="1:6" x14ac:dyDescent="0.2">
      <c r="A556" t="str">
        <f t="shared" si="9"/>
        <v>ГОСТ 16827-8145</v>
      </c>
      <c r="B556" t="s">
        <v>106</v>
      </c>
      <c r="C556" s="117">
        <f>'17'!B8</f>
        <v>45</v>
      </c>
      <c r="E556" s="117">
        <f>'17'!D8</f>
        <v>1313768.04</v>
      </c>
      <c r="F556" s="117">
        <f>'17'!E8</f>
        <v>1788749.97</v>
      </c>
    </row>
    <row r="557" spans="1:6" x14ac:dyDescent="0.2">
      <c r="A557" t="str">
        <f t="shared" si="9"/>
        <v>ГОСТ 16827-8150</v>
      </c>
      <c r="B557" t="s">
        <v>106</v>
      </c>
      <c r="C557" s="117">
        <f>'17'!B9</f>
        <v>50</v>
      </c>
      <c r="E557" s="117">
        <f>'17'!D9</f>
        <v>1476703.78</v>
      </c>
      <c r="F557" s="117">
        <f>'17'!E9</f>
        <v>2010594.71</v>
      </c>
    </row>
    <row r="558" spans="1:6" x14ac:dyDescent="0.2">
      <c r="A558" t="str">
        <f t="shared" si="9"/>
        <v>ГОСТ 16827-8155</v>
      </c>
      <c r="B558" t="s">
        <v>106</v>
      </c>
      <c r="C558" s="117">
        <f>'17'!B10</f>
        <v>55</v>
      </c>
      <c r="E558" s="117">
        <f>'17'!D10</f>
        <v>1815245.71</v>
      </c>
      <c r="F558" s="117">
        <f>'17'!E10</f>
        <v>2471533.88</v>
      </c>
    </row>
    <row r="559" spans="1:6" x14ac:dyDescent="0.2">
      <c r="A559" t="str">
        <f t="shared" si="9"/>
        <v>ГОСТ 16827-8160</v>
      </c>
      <c r="B559" t="s">
        <v>106</v>
      </c>
      <c r="C559" s="117">
        <f>'17'!B11</f>
        <v>60</v>
      </c>
      <c r="E559" s="117">
        <f>'17'!D11</f>
        <v>2160113.85</v>
      </c>
      <c r="F559" s="117">
        <f>'17'!E11</f>
        <v>0</v>
      </c>
    </row>
    <row r="560" spans="1:6" x14ac:dyDescent="0.2">
      <c r="A560" t="str">
        <f t="shared" si="9"/>
        <v>ГОСТ 16828-8120</v>
      </c>
      <c r="B560" t="s">
        <v>107</v>
      </c>
      <c r="C560">
        <f>'17'!B18</f>
        <v>20</v>
      </c>
      <c r="E560">
        <f>'17'!D18</f>
        <v>224968.75</v>
      </c>
      <c r="F560">
        <f>'17'!E18</f>
        <v>306084.49</v>
      </c>
    </row>
    <row r="561" spans="1:6" x14ac:dyDescent="0.2">
      <c r="A561" t="str">
        <f t="shared" si="9"/>
        <v>ГОСТ 16828-8122</v>
      </c>
      <c r="B561" t="s">
        <v>107</v>
      </c>
      <c r="C561">
        <f>'17'!B19</f>
        <v>22</v>
      </c>
      <c r="E561">
        <f>'17'!D19</f>
        <v>252849.01</v>
      </c>
      <c r="F561">
        <f>'17'!E19</f>
        <v>344233.99</v>
      </c>
    </row>
    <row r="562" spans="1:6" x14ac:dyDescent="0.2">
      <c r="A562" t="str">
        <f t="shared" si="9"/>
        <v>ГОСТ 16828-8125</v>
      </c>
      <c r="B562" t="s">
        <v>107</v>
      </c>
      <c r="C562">
        <f>'17'!B20</f>
        <v>25</v>
      </c>
      <c r="E562">
        <f>'17'!D20</f>
        <v>321812.74</v>
      </c>
      <c r="F562">
        <f>'17'!E20</f>
        <v>437973.85</v>
      </c>
    </row>
    <row r="563" spans="1:6" x14ac:dyDescent="0.2">
      <c r="A563" t="str">
        <f t="shared" si="9"/>
        <v>ГОСТ 16828-8127</v>
      </c>
      <c r="B563" t="s">
        <v>107</v>
      </c>
      <c r="C563">
        <f>'17'!B21</f>
        <v>27</v>
      </c>
      <c r="E563">
        <f>'17'!D21</f>
        <v>372940.44</v>
      </c>
      <c r="F563">
        <f>'17'!E21</f>
        <v>507673.51</v>
      </c>
    </row>
    <row r="564" spans="1:6" x14ac:dyDescent="0.2">
      <c r="A564" t="str">
        <f t="shared" si="9"/>
        <v>ГОСТ 16828-8130</v>
      </c>
      <c r="B564" t="s">
        <v>107</v>
      </c>
      <c r="C564">
        <f>'17'!B22</f>
        <v>30</v>
      </c>
      <c r="E564">
        <f>'17'!D22</f>
        <v>451310.61</v>
      </c>
      <c r="F564">
        <f>'17'!E22</f>
        <v>614132.54</v>
      </c>
    </row>
    <row r="565" spans="1:6" x14ac:dyDescent="0.2">
      <c r="A565" t="str">
        <f t="shared" si="9"/>
        <v>ГОСТ 16828-8132</v>
      </c>
      <c r="B565" t="s">
        <v>107</v>
      </c>
      <c r="C565">
        <f>'17'!B23</f>
        <v>32</v>
      </c>
      <c r="E565">
        <f>'17'!D23</f>
        <v>531396.02</v>
      </c>
      <c r="F565">
        <f>'17'!E23</f>
        <v>723473.04</v>
      </c>
    </row>
    <row r="566" spans="1:6" x14ac:dyDescent="0.2">
      <c r="A566" t="str">
        <f t="shared" si="9"/>
        <v>ГОСТ 16828-8134</v>
      </c>
      <c r="B566" t="s">
        <v>107</v>
      </c>
      <c r="C566">
        <f>'17'!B24</f>
        <v>34</v>
      </c>
      <c r="E566">
        <f>'17'!D24</f>
        <v>592937.30000000005</v>
      </c>
      <c r="F566">
        <f>'17'!E24</f>
        <v>807206.74</v>
      </c>
    </row>
    <row r="567" spans="1:6" x14ac:dyDescent="0.2">
      <c r="A567" t="str">
        <f t="shared" si="9"/>
        <v>ГОСТ 16828-8136</v>
      </c>
      <c r="B567" t="s">
        <v>107</v>
      </c>
      <c r="C567">
        <f>'17'!B25</f>
        <v>36</v>
      </c>
      <c r="E567">
        <f>'17'!D25</f>
        <v>654246.56999999995</v>
      </c>
      <c r="F567">
        <f>'17'!E25</f>
        <v>890255.98</v>
      </c>
    </row>
    <row r="568" spans="1:6" x14ac:dyDescent="0.2">
      <c r="A568" t="str">
        <f t="shared" si="9"/>
        <v>ГОСТ 16828-8138</v>
      </c>
      <c r="B568" t="s">
        <v>107</v>
      </c>
      <c r="C568">
        <f>'17'!B26</f>
        <v>38</v>
      </c>
      <c r="E568">
        <f>'17'!D26</f>
        <v>718662.87</v>
      </c>
      <c r="F568">
        <f>'17'!E26</f>
        <v>977740.69</v>
      </c>
    </row>
    <row r="569" spans="1:6" x14ac:dyDescent="0.2">
      <c r="A569" t="str">
        <f t="shared" si="9"/>
        <v>ГОСТ 16828-8140</v>
      </c>
      <c r="B569" t="s">
        <v>107</v>
      </c>
      <c r="C569">
        <f>'17'!B27</f>
        <v>40</v>
      </c>
      <c r="E569">
        <f>'17'!D27</f>
        <v>830434.51</v>
      </c>
      <c r="F569">
        <f>'17'!E27</f>
        <v>1130578.49</v>
      </c>
    </row>
    <row r="570" spans="1:6" x14ac:dyDescent="0.2">
      <c r="A570" t="str">
        <f t="shared" si="9"/>
        <v>ГОСТ 16828-8150</v>
      </c>
      <c r="B570" t="s">
        <v>107</v>
      </c>
      <c r="C570">
        <f>'17'!B28</f>
        <v>50</v>
      </c>
      <c r="E570">
        <f>'17'!D28</f>
        <v>1214881.1399999999</v>
      </c>
      <c r="F570">
        <f>'17'!E28</f>
        <v>1653495.93</v>
      </c>
    </row>
    <row r="571" spans="1:6" x14ac:dyDescent="0.2">
      <c r="A571" s="119" t="str">
        <f>B571&amp;C571&amp;D571</f>
        <v>ГОСТ 16853-8825МС</v>
      </c>
      <c r="B571" t="s">
        <v>81</v>
      </c>
      <c r="C571" s="117">
        <f>'17'!B37</f>
        <v>25</v>
      </c>
      <c r="D571" t="s">
        <v>188</v>
      </c>
      <c r="E571" s="117">
        <f>'17'!D37</f>
        <v>293707.63</v>
      </c>
      <c r="F571" s="117">
        <f>'17'!E37</f>
        <v>0</v>
      </c>
    </row>
    <row r="572" spans="1:6" x14ac:dyDescent="0.2">
      <c r="A572" s="119" t="str">
        <f t="shared" ref="A572:A580" si="10">B572&amp;C572&amp;D572</f>
        <v>ГОСТ 16853-8828МС</v>
      </c>
      <c r="B572" t="s">
        <v>81</v>
      </c>
      <c r="C572" s="117">
        <f>'17'!B38</f>
        <v>28</v>
      </c>
      <c r="D572" t="s">
        <v>188</v>
      </c>
      <c r="E572" s="117">
        <f>'17'!D38</f>
        <v>363483.36</v>
      </c>
      <c r="F572" s="117">
        <f>'17'!E38</f>
        <v>0</v>
      </c>
    </row>
    <row r="573" spans="1:6" x14ac:dyDescent="0.2">
      <c r="A573" s="119" t="str">
        <f t="shared" si="10"/>
        <v>ГОСТ 16853-8832МС</v>
      </c>
      <c r="B573" t="s">
        <v>81</v>
      </c>
      <c r="C573" s="117">
        <f>'17'!B39</f>
        <v>32</v>
      </c>
      <c r="D573" t="s">
        <v>188</v>
      </c>
      <c r="E573" s="117">
        <f>'17'!D39</f>
        <v>426151.3</v>
      </c>
      <c r="F573" s="117">
        <f>'17'!E39</f>
        <v>0</v>
      </c>
    </row>
    <row r="574" spans="1:6" x14ac:dyDescent="0.2">
      <c r="A574" s="119" t="str">
        <f t="shared" si="10"/>
        <v>ГОСТ 16853-8835МС</v>
      </c>
      <c r="B574" t="s">
        <v>81</v>
      </c>
      <c r="C574" s="117">
        <f>'17'!B40</f>
        <v>35</v>
      </c>
      <c r="D574" t="s">
        <v>188</v>
      </c>
      <c r="E574" s="117">
        <f>'17'!D40</f>
        <v>496792.8</v>
      </c>
      <c r="F574" s="117">
        <f>'17'!E40</f>
        <v>0</v>
      </c>
    </row>
    <row r="575" spans="1:6" x14ac:dyDescent="0.2">
      <c r="A575" s="119" t="str">
        <f t="shared" si="10"/>
        <v>ГОСТ 16853-8838МС</v>
      </c>
      <c r="B575" t="s">
        <v>81</v>
      </c>
      <c r="C575" s="117">
        <f>'17'!B41</f>
        <v>38</v>
      </c>
      <c r="D575" t="s">
        <v>188</v>
      </c>
      <c r="E575" s="117">
        <f>'17'!D41</f>
        <v>618140.79</v>
      </c>
      <c r="F575" s="117">
        <f>'17'!E41</f>
        <v>0</v>
      </c>
    </row>
    <row r="576" spans="1:6" x14ac:dyDescent="0.2">
      <c r="A576" s="119" t="str">
        <f t="shared" si="10"/>
        <v>ГОСТ 16853-8825ОС</v>
      </c>
      <c r="B576" t="s">
        <v>81</v>
      </c>
      <c r="C576" s="117">
        <f>'17'!B43</f>
        <v>25</v>
      </c>
      <c r="D576" s="114" t="s">
        <v>189</v>
      </c>
      <c r="E576" s="117">
        <f>'17'!D43</f>
        <v>285942.27</v>
      </c>
      <c r="F576" s="117">
        <f>'17'!E43</f>
        <v>0</v>
      </c>
    </row>
    <row r="577" spans="1:7" x14ac:dyDescent="0.2">
      <c r="A577" s="119" t="str">
        <f t="shared" si="10"/>
        <v>ГОСТ 16853-8828ОС</v>
      </c>
      <c r="B577" t="s">
        <v>81</v>
      </c>
      <c r="C577" s="117">
        <f>'17'!B44</f>
        <v>28</v>
      </c>
      <c r="D577" s="114" t="s">
        <v>189</v>
      </c>
      <c r="E577" s="117">
        <f>'17'!D44</f>
        <v>339076.29</v>
      </c>
      <c r="F577" s="117">
        <f>'17'!E44</f>
        <v>0</v>
      </c>
    </row>
    <row r="578" spans="1:7" x14ac:dyDescent="0.2">
      <c r="A578" s="119" t="str">
        <f t="shared" si="10"/>
        <v>ГОСТ 16853-8832ОС</v>
      </c>
      <c r="B578" t="s">
        <v>81</v>
      </c>
      <c r="C578" s="117">
        <f>'17'!B45</f>
        <v>32</v>
      </c>
      <c r="D578" s="114" t="s">
        <v>189</v>
      </c>
      <c r="E578" s="117">
        <f>'17'!D45</f>
        <v>423453.5</v>
      </c>
      <c r="F578" s="117">
        <f>'17'!E45</f>
        <v>0</v>
      </c>
    </row>
    <row r="579" spans="1:7" x14ac:dyDescent="0.2">
      <c r="A579" s="119" t="str">
        <f t="shared" si="10"/>
        <v>ГОСТ 16853-8835ОС</v>
      </c>
      <c r="B579" t="s">
        <v>81</v>
      </c>
      <c r="C579" s="117">
        <f>'17'!B46</f>
        <v>35</v>
      </c>
      <c r="D579" s="114" t="s">
        <v>189</v>
      </c>
      <c r="E579" s="117">
        <f>'17'!D46</f>
        <v>515920.65</v>
      </c>
      <c r="F579" s="117">
        <f>'17'!E46</f>
        <v>0</v>
      </c>
    </row>
    <row r="580" spans="1:7" x14ac:dyDescent="0.2">
      <c r="A580" s="119" t="str">
        <f t="shared" si="10"/>
        <v>ГОСТ 16853-8838ОС</v>
      </c>
      <c r="B580" t="s">
        <v>81</v>
      </c>
      <c r="C580" s="117">
        <f>'17'!B47</f>
        <v>38</v>
      </c>
      <c r="D580" s="114" t="s">
        <v>189</v>
      </c>
      <c r="E580" s="117">
        <f>'17'!D47</f>
        <v>604614.38</v>
      </c>
      <c r="F580" s="117">
        <f>'17'!E47</f>
        <v>0</v>
      </c>
    </row>
    <row r="581" spans="1:7" x14ac:dyDescent="0.2">
      <c r="A581" s="118" t="str">
        <f t="shared" ref="A581:A590" si="11">B581&amp;C581&amp;G581</f>
        <v>СТО 71915393-ТУ049-200725И1</v>
      </c>
      <c r="B581" t="s">
        <v>187</v>
      </c>
      <c r="C581">
        <f>'17'!B56</f>
        <v>25</v>
      </c>
      <c r="E581">
        <f>'17'!D56</f>
        <v>296724.96000000002</v>
      </c>
      <c r="F581">
        <f>'17'!E56</f>
        <v>0</v>
      </c>
      <c r="G581" t="s">
        <v>110</v>
      </c>
    </row>
    <row r="582" spans="1:7" x14ac:dyDescent="0.2">
      <c r="A582" s="118" t="str">
        <f t="shared" si="11"/>
        <v>СТО 71915393-ТУ049-200728И1</v>
      </c>
      <c r="B582" t="s">
        <v>187</v>
      </c>
      <c r="C582">
        <f>'17'!B57</f>
        <v>28</v>
      </c>
      <c r="E582">
        <f>'17'!D57</f>
        <v>367217.5</v>
      </c>
      <c r="F582">
        <f>'17'!E57</f>
        <v>0</v>
      </c>
      <c r="G582" t="s">
        <v>110</v>
      </c>
    </row>
    <row r="583" spans="1:7" x14ac:dyDescent="0.2">
      <c r="A583" s="118" t="str">
        <f t="shared" si="11"/>
        <v>СТО 71915393-ТУ049-200732И1</v>
      </c>
      <c r="B583" t="s">
        <v>187</v>
      </c>
      <c r="C583">
        <f>'17'!B58</f>
        <v>32</v>
      </c>
      <c r="E583">
        <f>'17'!D58</f>
        <v>430529.21</v>
      </c>
      <c r="F583">
        <f>'17'!E58</f>
        <v>0</v>
      </c>
      <c r="G583" t="s">
        <v>110</v>
      </c>
    </row>
    <row r="584" spans="1:7" x14ac:dyDescent="0.2">
      <c r="A584" s="118" t="str">
        <f t="shared" si="11"/>
        <v>СТО 71915393-ТУ049-200735И1</v>
      </c>
      <c r="B584" t="s">
        <v>187</v>
      </c>
      <c r="C584">
        <f>'17'!B59</f>
        <v>35</v>
      </c>
      <c r="E584">
        <f>'17'!D59</f>
        <v>501896.42</v>
      </c>
      <c r="F584">
        <f>'17'!E59</f>
        <v>0</v>
      </c>
      <c r="G584" t="s">
        <v>110</v>
      </c>
    </row>
    <row r="585" spans="1:7" x14ac:dyDescent="0.2">
      <c r="A585" s="118" t="str">
        <f t="shared" si="11"/>
        <v>СТО 71915393-ТУ049-200738И1</v>
      </c>
      <c r="B585" t="s">
        <v>187</v>
      </c>
      <c r="C585">
        <f>'17'!B60</f>
        <v>38</v>
      </c>
      <c r="E585">
        <f>'17'!D60</f>
        <v>624491.02</v>
      </c>
      <c r="F585">
        <f>'17'!E60</f>
        <v>0</v>
      </c>
      <c r="G585" t="s">
        <v>110</v>
      </c>
    </row>
    <row r="586" spans="1:7" x14ac:dyDescent="0.2">
      <c r="A586" s="118" t="str">
        <f t="shared" si="11"/>
        <v>СТО 71915393-ТУ049-200725И2</v>
      </c>
      <c r="B586" t="s">
        <v>187</v>
      </c>
      <c r="C586">
        <f>'17'!B62</f>
        <v>25</v>
      </c>
      <c r="E586">
        <f>'17'!D62</f>
        <v>332331.96999999997</v>
      </c>
      <c r="F586">
        <f>'17'!E62</f>
        <v>0</v>
      </c>
      <c r="G586" s="114" t="s">
        <v>111</v>
      </c>
    </row>
    <row r="587" spans="1:7" x14ac:dyDescent="0.2">
      <c r="A587" s="118" t="str">
        <f t="shared" si="11"/>
        <v>СТО 71915393-ТУ049-200728И2</v>
      </c>
      <c r="B587" t="s">
        <v>187</v>
      </c>
      <c r="C587">
        <f>'17'!B63</f>
        <v>28</v>
      </c>
      <c r="E587">
        <f>'17'!D63</f>
        <v>411283.6</v>
      </c>
      <c r="F587">
        <f>'17'!E63</f>
        <v>0</v>
      </c>
      <c r="G587" s="114" t="s">
        <v>111</v>
      </c>
    </row>
    <row r="588" spans="1:7" x14ac:dyDescent="0.2">
      <c r="A588" s="118" t="str">
        <f t="shared" si="11"/>
        <v>СТО 71915393-ТУ049-200732И2</v>
      </c>
      <c r="B588" t="s">
        <v>187</v>
      </c>
      <c r="C588">
        <f>'17'!B64</f>
        <v>32</v>
      </c>
      <c r="E588">
        <f>'17'!D64</f>
        <v>482192.71</v>
      </c>
      <c r="F588">
        <f>'17'!E64</f>
        <v>0</v>
      </c>
      <c r="G588" s="114" t="s">
        <v>111</v>
      </c>
    </row>
    <row r="589" spans="1:7" x14ac:dyDescent="0.2">
      <c r="A589" s="118" t="str">
        <f t="shared" si="11"/>
        <v>СТО 71915393-ТУ049-200735И2</v>
      </c>
      <c r="B589" t="s">
        <v>187</v>
      </c>
      <c r="C589">
        <f>'17'!B65</f>
        <v>35</v>
      </c>
      <c r="E589">
        <f>'17'!D65</f>
        <v>562124</v>
      </c>
      <c r="F589">
        <f>'17'!E65</f>
        <v>0</v>
      </c>
      <c r="G589" s="114" t="s">
        <v>111</v>
      </c>
    </row>
    <row r="590" spans="1:7" x14ac:dyDescent="0.2">
      <c r="A590" s="118" t="str">
        <f t="shared" si="11"/>
        <v>СТО 71915393-ТУ049-200738И2</v>
      </c>
      <c r="B590" t="s">
        <v>187</v>
      </c>
      <c r="C590">
        <f>'17'!B66</f>
        <v>38</v>
      </c>
      <c r="E590">
        <f>'17'!D66</f>
        <v>699429.96</v>
      </c>
      <c r="F590">
        <f>'17'!E66</f>
        <v>0</v>
      </c>
      <c r="G590" s="114" t="s">
        <v>111</v>
      </c>
    </row>
    <row r="591" spans="1:7" x14ac:dyDescent="0.2">
      <c r="A591" t="e">
        <f t="shared" ref="A591:A597" si="12">B591&amp;C591</f>
        <v>#REF!</v>
      </c>
      <c r="B591" t="s">
        <v>122</v>
      </c>
      <c r="C591" s="117" t="e">
        <f>#REF!</f>
        <v>#REF!</v>
      </c>
      <c r="E591" s="117" t="e">
        <f>#REF!</f>
        <v>#REF!</v>
      </c>
      <c r="F591" s="117" t="e">
        <f>#REF!</f>
        <v>#REF!</v>
      </c>
    </row>
    <row r="592" spans="1:7" x14ac:dyDescent="0.2">
      <c r="A592" t="e">
        <f t="shared" si="12"/>
        <v>#REF!</v>
      </c>
      <c r="B592" t="s">
        <v>116</v>
      </c>
      <c r="C592" t="e">
        <f>#REF!</f>
        <v>#REF!</v>
      </c>
      <c r="E592" t="e">
        <f>#REF!</f>
        <v>#REF!</v>
      </c>
      <c r="F592" t="e">
        <f>#REF!</f>
        <v>#REF!</v>
      </c>
    </row>
    <row r="593" spans="1:6" x14ac:dyDescent="0.2">
      <c r="A593" t="e">
        <f t="shared" si="12"/>
        <v>#REF!</v>
      </c>
      <c r="B593" t="s">
        <v>116</v>
      </c>
      <c r="C593" t="e">
        <f>#REF!</f>
        <v>#REF!</v>
      </c>
      <c r="E593" t="e">
        <f>#REF!</f>
        <v>#REF!</v>
      </c>
      <c r="F593" t="e">
        <f>#REF!</f>
        <v>#REF!</v>
      </c>
    </row>
    <row r="594" spans="1:6" x14ac:dyDescent="0.2">
      <c r="A594" t="e">
        <f t="shared" si="12"/>
        <v>#REF!</v>
      </c>
      <c r="B594" t="s">
        <v>116</v>
      </c>
      <c r="C594" t="e">
        <f>#REF!</f>
        <v>#REF!</v>
      </c>
      <c r="E594" t="e">
        <f>#REF!</f>
        <v>#REF!</v>
      </c>
      <c r="F594" t="e">
        <f>#REF!</f>
        <v>#REF!</v>
      </c>
    </row>
    <row r="595" spans="1:6" x14ac:dyDescent="0.2">
      <c r="A595" t="e">
        <f t="shared" si="12"/>
        <v>#REF!</v>
      </c>
      <c r="B595" t="s">
        <v>117</v>
      </c>
      <c r="C595" s="117" t="e">
        <f>#REF!</f>
        <v>#REF!</v>
      </c>
      <c r="E595" s="117" t="e">
        <f>#REF!</f>
        <v>#REF!</v>
      </c>
      <c r="F595" s="117" t="e">
        <f>#REF!</f>
        <v>#REF!</v>
      </c>
    </row>
    <row r="596" spans="1:6" x14ac:dyDescent="0.2">
      <c r="A596" t="e">
        <f t="shared" si="12"/>
        <v>#REF!</v>
      </c>
      <c r="B596" t="s">
        <v>117</v>
      </c>
      <c r="C596" s="117" t="e">
        <f>#REF!</f>
        <v>#REF!</v>
      </c>
      <c r="E596" s="117" t="e">
        <f>#REF!</f>
        <v>#REF!</v>
      </c>
      <c r="F596" s="117" t="e">
        <f>#REF!</f>
        <v>#REF!</v>
      </c>
    </row>
    <row r="597" spans="1:6" x14ac:dyDescent="0.2">
      <c r="A597" t="e">
        <f t="shared" si="12"/>
        <v>#REF!</v>
      </c>
      <c r="B597" t="s">
        <v>117</v>
      </c>
      <c r="C597" s="117" t="e">
        <f>#REF!</f>
        <v>#REF!</v>
      </c>
      <c r="E597" s="117" t="e">
        <f>#REF!</f>
        <v>#REF!</v>
      </c>
      <c r="F597" s="117" t="e">
        <f>#REF!</f>
        <v>#REF!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33"/>
  <sheetViews>
    <sheetView showGridLines="0" showRowColHeaders="0" topLeftCell="A16" zoomScaleNormal="100" zoomScaleSheetLayoutView="100" workbookViewId="0">
      <selection activeCell="B26" sqref="B26"/>
    </sheetView>
  </sheetViews>
  <sheetFormatPr defaultColWidth="0" defaultRowHeight="12.75" zeroHeight="1" x14ac:dyDescent="0.2"/>
  <cols>
    <col min="1" max="1" width="32.5703125" style="3" customWidth="1"/>
    <col min="2" max="2" width="73.42578125" style="23" customWidth="1"/>
    <col min="3" max="3" width="5.7109375" style="42" customWidth="1"/>
    <col min="4" max="16384" width="0" style="15" hidden="1"/>
  </cols>
  <sheetData>
    <row r="1" spans="1:3" ht="38.450000000000003" customHeight="1" x14ac:dyDescent="0.2">
      <c r="A1" s="121" t="s">
        <v>151</v>
      </c>
      <c r="B1" s="121"/>
      <c r="C1" s="40" t="s">
        <v>129</v>
      </c>
    </row>
    <row r="2" spans="1:3" s="3" customFormat="1" x14ac:dyDescent="0.2">
      <c r="A2" s="122" t="s">
        <v>51</v>
      </c>
      <c r="B2" s="122"/>
      <c r="C2" s="122"/>
    </row>
    <row r="3" spans="1:3" s="3" customFormat="1" x14ac:dyDescent="0.2">
      <c r="A3" s="133" t="s">
        <v>152</v>
      </c>
      <c r="B3" s="120"/>
      <c r="C3" s="44">
        <v>3</v>
      </c>
    </row>
    <row r="4" spans="1:3" s="3" customFormat="1" x14ac:dyDescent="0.2">
      <c r="A4" s="133" t="s">
        <v>109</v>
      </c>
      <c r="B4" s="43" t="s">
        <v>120</v>
      </c>
      <c r="C4" s="44">
        <v>4</v>
      </c>
    </row>
    <row r="5" spans="1:3" s="3" customFormat="1" x14ac:dyDescent="0.2">
      <c r="A5" s="133" t="s">
        <v>52</v>
      </c>
      <c r="B5" s="43" t="s">
        <v>53</v>
      </c>
      <c r="C5" s="44">
        <v>4</v>
      </c>
    </row>
    <row r="6" spans="1:3" s="3" customFormat="1" x14ac:dyDescent="0.2">
      <c r="A6" s="133" t="s">
        <v>54</v>
      </c>
      <c r="B6" s="43" t="s">
        <v>55</v>
      </c>
      <c r="C6" s="44">
        <v>5</v>
      </c>
    </row>
    <row r="7" spans="1:3" s="3" customFormat="1" x14ac:dyDescent="0.2">
      <c r="A7" s="133" t="s">
        <v>56</v>
      </c>
      <c r="B7" s="43" t="s">
        <v>57</v>
      </c>
      <c r="C7" s="44">
        <v>6</v>
      </c>
    </row>
    <row r="8" spans="1:3" s="3" customFormat="1" x14ac:dyDescent="0.2">
      <c r="A8" s="133" t="s">
        <v>58</v>
      </c>
      <c r="B8" s="43" t="s">
        <v>59</v>
      </c>
      <c r="C8" s="44">
        <v>6</v>
      </c>
    </row>
    <row r="9" spans="1:3" s="3" customFormat="1" x14ac:dyDescent="0.2">
      <c r="A9" s="133" t="s">
        <v>60</v>
      </c>
      <c r="B9" s="43" t="s">
        <v>61</v>
      </c>
      <c r="C9" s="44">
        <v>7</v>
      </c>
    </row>
    <row r="10" spans="1:3" s="3" customFormat="1" x14ac:dyDescent="0.2">
      <c r="A10" s="133" t="s">
        <v>62</v>
      </c>
      <c r="B10" s="43" t="s">
        <v>63</v>
      </c>
      <c r="C10" s="44">
        <v>7</v>
      </c>
    </row>
    <row r="11" spans="1:3" s="3" customFormat="1" x14ac:dyDescent="0.2">
      <c r="A11" s="133" t="s">
        <v>103</v>
      </c>
      <c r="B11" s="43" t="s">
        <v>115</v>
      </c>
      <c r="C11" s="44">
        <v>7</v>
      </c>
    </row>
    <row r="12" spans="1:3" s="3" customFormat="1" x14ac:dyDescent="0.2">
      <c r="A12" s="133" t="s">
        <v>64</v>
      </c>
      <c r="B12" s="43" t="s">
        <v>65</v>
      </c>
      <c r="C12" s="44">
        <v>8</v>
      </c>
    </row>
    <row r="13" spans="1:3" s="3" customFormat="1" x14ac:dyDescent="0.2">
      <c r="A13" s="133" t="s">
        <v>66</v>
      </c>
      <c r="B13" s="43" t="s">
        <v>67</v>
      </c>
      <c r="C13" s="44">
        <v>8</v>
      </c>
    </row>
    <row r="14" spans="1:3" s="3" customFormat="1" x14ac:dyDescent="0.2">
      <c r="A14" s="133" t="s">
        <v>68</v>
      </c>
      <c r="B14" s="43" t="s">
        <v>69</v>
      </c>
      <c r="C14" s="44">
        <v>8</v>
      </c>
    </row>
    <row r="15" spans="1:3" s="3" customFormat="1" x14ac:dyDescent="0.2">
      <c r="A15" s="133" t="s">
        <v>70</v>
      </c>
      <c r="B15" s="43" t="s">
        <v>71</v>
      </c>
      <c r="C15" s="44">
        <v>9</v>
      </c>
    </row>
    <row r="16" spans="1:3" s="3" customFormat="1" x14ac:dyDescent="0.2">
      <c r="A16" s="133" t="s">
        <v>72</v>
      </c>
      <c r="B16" s="43" t="s">
        <v>73</v>
      </c>
      <c r="C16" s="44">
        <v>10</v>
      </c>
    </row>
    <row r="17" spans="1:3" s="3" customFormat="1" x14ac:dyDescent="0.2">
      <c r="A17" s="133" t="s">
        <v>74</v>
      </c>
      <c r="B17" s="43" t="s">
        <v>75</v>
      </c>
      <c r="C17" s="44">
        <v>11</v>
      </c>
    </row>
    <row r="18" spans="1:3" s="3" customFormat="1" x14ac:dyDescent="0.2">
      <c r="A18" s="133" t="s">
        <v>76</v>
      </c>
      <c r="B18" s="43" t="s">
        <v>119</v>
      </c>
      <c r="C18" s="44">
        <v>11</v>
      </c>
    </row>
    <row r="19" spans="1:3" s="3" customFormat="1" x14ac:dyDescent="0.2">
      <c r="A19" s="133" t="s">
        <v>104</v>
      </c>
      <c r="B19" s="43" t="s">
        <v>118</v>
      </c>
      <c r="C19" s="44">
        <v>12</v>
      </c>
    </row>
    <row r="20" spans="1:3" s="3" customFormat="1" x14ac:dyDescent="0.2">
      <c r="A20" s="133" t="s">
        <v>105</v>
      </c>
      <c r="B20" s="43" t="s">
        <v>121</v>
      </c>
      <c r="C20" s="44">
        <v>12</v>
      </c>
    </row>
    <row r="21" spans="1:3" s="3" customFormat="1" x14ac:dyDescent="0.2">
      <c r="A21" s="133" t="s">
        <v>77</v>
      </c>
      <c r="B21" s="43" t="s">
        <v>78</v>
      </c>
      <c r="C21" s="44">
        <v>12</v>
      </c>
    </row>
    <row r="22" spans="1:3" s="3" customFormat="1" x14ac:dyDescent="0.2">
      <c r="A22" s="133" t="s">
        <v>79</v>
      </c>
      <c r="B22" s="43" t="s">
        <v>80</v>
      </c>
      <c r="C22" s="44">
        <v>13</v>
      </c>
    </row>
    <row r="23" spans="1:3" s="3" customFormat="1" x14ac:dyDescent="0.2">
      <c r="A23" s="133" t="s">
        <v>83</v>
      </c>
      <c r="B23" s="43" t="s">
        <v>84</v>
      </c>
      <c r="C23" s="44">
        <v>13</v>
      </c>
    </row>
    <row r="24" spans="1:3" s="3" customFormat="1" x14ac:dyDescent="0.2">
      <c r="A24" s="133" t="s">
        <v>85</v>
      </c>
      <c r="B24" s="43" t="s">
        <v>86</v>
      </c>
      <c r="C24" s="44">
        <v>14</v>
      </c>
    </row>
    <row r="25" spans="1:3" s="3" customFormat="1" x14ac:dyDescent="0.2">
      <c r="A25" s="133" t="s">
        <v>184</v>
      </c>
      <c r="B25" s="43" t="s">
        <v>87</v>
      </c>
      <c r="C25" s="44">
        <v>15</v>
      </c>
    </row>
    <row r="26" spans="1:3" s="3" customFormat="1" x14ac:dyDescent="0.2">
      <c r="A26" s="133" t="s">
        <v>88</v>
      </c>
      <c r="B26" s="43" t="s">
        <v>89</v>
      </c>
      <c r="C26" s="44">
        <v>16</v>
      </c>
    </row>
    <row r="27" spans="1:3" s="3" customFormat="1" ht="38.25" x14ac:dyDescent="0.2">
      <c r="A27" s="133" t="s">
        <v>106</v>
      </c>
      <c r="B27" s="35" t="s">
        <v>190</v>
      </c>
      <c r="C27" s="44">
        <v>17</v>
      </c>
    </row>
    <row r="28" spans="1:3" s="3" customFormat="1" ht="25.5" customHeight="1" x14ac:dyDescent="0.2">
      <c r="A28" s="133" t="s">
        <v>107</v>
      </c>
      <c r="B28" s="41" t="s">
        <v>130</v>
      </c>
      <c r="C28" s="44">
        <v>17</v>
      </c>
    </row>
    <row r="29" spans="1:3" s="3" customFormat="1" ht="25.5" customHeight="1" x14ac:dyDescent="0.2">
      <c r="A29" s="133" t="s">
        <v>81</v>
      </c>
      <c r="B29" s="123" t="s">
        <v>82</v>
      </c>
      <c r="C29" s="44">
        <v>17</v>
      </c>
    </row>
    <row r="30" spans="1:3" s="3" customFormat="1" ht="38.25" x14ac:dyDescent="0.2">
      <c r="A30" s="133" t="s">
        <v>128</v>
      </c>
      <c r="B30" s="35" t="s">
        <v>131</v>
      </c>
      <c r="C30" s="44">
        <v>17</v>
      </c>
    </row>
    <row r="31" spans="1:3" x14ac:dyDescent="0.2"/>
    <row r="32" spans="1:3" x14ac:dyDescent="0.2"/>
    <row r="33" x14ac:dyDescent="0.2"/>
  </sheetData>
  <phoneticPr fontId="0" type="noConversion"/>
  <hyperlinks>
    <hyperlink ref="A5" location="'4'!H2" display="ГОСТ 2688-80 "/>
    <hyperlink ref="A3:B3" location="'3'!H2" display="приплаты для канатов"/>
    <hyperlink ref="A6" location="'5'!H2" display="ГОСТ 3062-80"/>
    <hyperlink ref="A7" location="'6'!H2" display="ГОСТ 3063-80 "/>
    <hyperlink ref="A8" location="'6'!H2" display="ГОСТ 3064-80"/>
    <hyperlink ref="A9" location="'7'!H2" display="ГОСТ 3066-80 "/>
    <hyperlink ref="A10" location="'7'!H2" display="ГОСТ 3067-80 "/>
    <hyperlink ref="A12" location="'8'!H2" display="ГОСТ 3069-80"/>
    <hyperlink ref="A13" location="'15'!A1" display="ГОСТ 3070-88"/>
    <hyperlink ref="A14" location="'15'!A1" display="ГОСТ 3071-88"/>
    <hyperlink ref="A15" location="'9'!H2" display="ГОСТ 3077-80 "/>
    <hyperlink ref="A16" location="'10'!H2" display="ГОСТ 3079-80 "/>
    <hyperlink ref="A17" location="'18'!A1" display="ГОСТ 3081-80 "/>
    <hyperlink ref="A18" location="'18'!A1" display="ГОСТ 3083-80"/>
    <hyperlink ref="A21" location="'19'!A1" display="ГОСТ 3089-80"/>
    <hyperlink ref="A22" location="'20'!A1" display="ГОСТ 7665-80"/>
    <hyperlink ref="A23" location="'20'!A1" display="ГОСТ 7667-80"/>
    <hyperlink ref="A24" location="'14'!H2" display="ГОСТ 7668-80"/>
    <hyperlink ref="A25" location="'15'!H2" display="ГОСТ 7669-80, ТУ091, ТУ090, ТУ002"/>
    <hyperlink ref="A26" location="'16'!H2" display="ГОСТ 14954-80"/>
    <hyperlink ref="A11" location="'7'!H2" display="ГОСТ 3068-88"/>
    <hyperlink ref="A19" location="'19'!A1" display="ГОСТ 3085-80 И1"/>
    <hyperlink ref="A20" location="'19'!A1" display="ГОСТ 3088-80"/>
    <hyperlink ref="A27" location="'24'!A1" display="ГОСТ 16827-81"/>
    <hyperlink ref="A28" location="'24'!A1" display="ГОСТ 16828-81"/>
    <hyperlink ref="A4" location="'4'!H2" display="ГОСТ 2172-80"/>
    <hyperlink ref="A29" location="'24'!A1" display="ГОСТ 16853-88"/>
    <hyperlink ref="A30" location="'24'!A1" display="СТО 71915393-ТУ 049-2007"/>
    <hyperlink ref="A13:A14" location="'8'!H2" display="ГОСТ 3070-88"/>
    <hyperlink ref="A17:A18" location="'11'!H2" display="ГОСТ 3081-80 "/>
    <hyperlink ref="A19:A21" location="'12'!H2" display="ГОСТ 3085-80 И1"/>
    <hyperlink ref="A22:A23" location="'13'!H2" display="ГОСТ 7665-80"/>
    <hyperlink ref="A27:A30" location="'17'!H2" display="ГОСТ 16827-81"/>
  </hyperlinks>
  <pageMargins left="0.63" right="0.51" top="0.5" bottom="0.45" header="0.23" footer="0.26"/>
  <pageSetup paperSize="9" scale="83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H46"/>
  <sheetViews>
    <sheetView showGridLines="0" showRowColHeaders="0" view="pageBreakPreview" topLeftCell="B13" zoomScaleNormal="100" zoomScaleSheetLayoutView="100" workbookViewId="0">
      <selection activeCell="K22" sqref="K22"/>
    </sheetView>
  </sheetViews>
  <sheetFormatPr defaultColWidth="8.85546875" defaultRowHeight="12.75" x14ac:dyDescent="0.2"/>
  <cols>
    <col min="1" max="1" width="11.7109375" style="8" hidden="1" customWidth="1"/>
    <col min="2" max="2" width="26.140625" style="8" customWidth="1"/>
    <col min="3" max="3" width="20.28515625" style="8" customWidth="1"/>
    <col min="4" max="4" width="24.28515625" style="8" customWidth="1"/>
    <col min="5" max="5" width="18.140625" style="8" customWidth="1"/>
    <col min="6" max="6" width="14.5703125" style="8" customWidth="1"/>
    <col min="7" max="16384" width="8.85546875" style="8"/>
  </cols>
  <sheetData>
    <row r="1" spans="1:7" ht="18" customHeight="1" x14ac:dyDescent="0.25">
      <c r="B1" s="384" t="s">
        <v>92</v>
      </c>
      <c r="C1" s="384"/>
      <c r="D1" s="384"/>
      <c r="E1" s="384"/>
      <c r="F1" s="384"/>
      <c r="G1" s="10" t="s">
        <v>114</v>
      </c>
    </row>
    <row r="3" spans="1:7" x14ac:dyDescent="0.2">
      <c r="B3" s="134" t="s">
        <v>125</v>
      </c>
    </row>
    <row r="4" spans="1:7" x14ac:dyDescent="0.2">
      <c r="B4" s="134" t="s">
        <v>93</v>
      </c>
    </row>
    <row r="6" spans="1:7" x14ac:dyDescent="0.2">
      <c r="B6" s="135" t="s">
        <v>94</v>
      </c>
    </row>
    <row r="7" spans="1:7" x14ac:dyDescent="0.2">
      <c r="B7" s="135" t="s">
        <v>112</v>
      </c>
    </row>
    <row r="8" spans="1:7" ht="4.1500000000000004" customHeight="1" x14ac:dyDescent="0.2"/>
    <row r="9" spans="1:7" x14ac:dyDescent="0.2">
      <c r="E9" s="22" t="s">
        <v>91</v>
      </c>
    </row>
    <row r="10" spans="1:7" ht="25.5" x14ac:dyDescent="0.2">
      <c r="A10" s="391" t="s">
        <v>176</v>
      </c>
      <c r="B10" s="97" t="s">
        <v>95</v>
      </c>
      <c r="C10" s="97" t="s">
        <v>96</v>
      </c>
      <c r="D10" s="97" t="s">
        <v>97</v>
      </c>
      <c r="E10" s="402" t="s">
        <v>227</v>
      </c>
    </row>
    <row r="11" spans="1:7" x14ac:dyDescent="0.2">
      <c r="A11" s="8" t="s">
        <v>216</v>
      </c>
      <c r="B11" s="136" t="s">
        <v>98</v>
      </c>
      <c r="C11" s="390" t="s">
        <v>214</v>
      </c>
      <c r="D11" s="100" t="s">
        <v>99</v>
      </c>
      <c r="E11" s="392">
        <v>1</v>
      </c>
    </row>
    <row r="12" spans="1:7" x14ac:dyDescent="0.2">
      <c r="A12" s="8" t="s">
        <v>217</v>
      </c>
      <c r="B12" s="136" t="s">
        <v>98</v>
      </c>
      <c r="C12" s="390" t="s">
        <v>214</v>
      </c>
      <c r="D12" s="100" t="s">
        <v>100</v>
      </c>
      <c r="E12" s="392">
        <v>1.1499999999999999</v>
      </c>
    </row>
    <row r="13" spans="1:7" x14ac:dyDescent="0.2">
      <c r="A13" s="8" t="s">
        <v>218</v>
      </c>
      <c r="B13" s="136" t="s">
        <v>215</v>
      </c>
      <c r="C13" s="79" t="s">
        <v>101</v>
      </c>
      <c r="D13" s="100" t="s">
        <v>99</v>
      </c>
      <c r="E13" s="392">
        <v>1</v>
      </c>
    </row>
    <row r="14" spans="1:7" x14ac:dyDescent="0.2">
      <c r="A14" s="8" t="s">
        <v>219</v>
      </c>
      <c r="B14" s="136" t="s">
        <v>215</v>
      </c>
      <c r="C14" s="79" t="s">
        <v>101</v>
      </c>
      <c r="D14" s="100" t="s">
        <v>100</v>
      </c>
      <c r="E14" s="392">
        <v>1.1499999999999999</v>
      </c>
    </row>
    <row r="15" spans="1:7" x14ac:dyDescent="0.2">
      <c r="A15" s="8" t="s">
        <v>220</v>
      </c>
      <c r="B15" s="136" t="s">
        <v>215</v>
      </c>
      <c r="C15" s="80" t="s">
        <v>102</v>
      </c>
      <c r="D15" s="100" t="s">
        <v>99</v>
      </c>
      <c r="E15" s="392">
        <v>1.2</v>
      </c>
    </row>
    <row r="16" spans="1:7" x14ac:dyDescent="0.2">
      <c r="A16" s="8" t="s">
        <v>221</v>
      </c>
      <c r="B16" s="136" t="s">
        <v>215</v>
      </c>
      <c r="C16" s="80" t="s">
        <v>102</v>
      </c>
      <c r="D16" s="100" t="s">
        <v>100</v>
      </c>
      <c r="E16" s="392">
        <v>1.38</v>
      </c>
      <c r="G16" s="24"/>
    </row>
    <row r="17" spans="1:8" x14ac:dyDescent="0.2">
      <c r="A17" s="8" t="s">
        <v>222</v>
      </c>
      <c r="B17" s="136" t="s">
        <v>215</v>
      </c>
      <c r="C17" s="80" t="s">
        <v>3</v>
      </c>
      <c r="D17" s="100" t="s">
        <v>99</v>
      </c>
      <c r="E17" s="392">
        <v>0.97</v>
      </c>
    </row>
    <row r="18" spans="1:8" x14ac:dyDescent="0.2">
      <c r="A18" s="8" t="s">
        <v>223</v>
      </c>
      <c r="B18" s="136" t="s">
        <v>215</v>
      </c>
      <c r="C18" s="80" t="s">
        <v>3</v>
      </c>
      <c r="D18" s="100" t="s">
        <v>100</v>
      </c>
      <c r="E18" s="392">
        <v>1.1154999999999999</v>
      </c>
      <c r="H18"/>
    </row>
    <row r="19" spans="1:8" x14ac:dyDescent="0.2">
      <c r="A19" s="13"/>
      <c r="B19" s="383"/>
      <c r="C19" s="80"/>
      <c r="D19" s="100"/>
      <c r="E19" s="395"/>
      <c r="F19" s="47"/>
      <c r="G19" s="21"/>
    </row>
    <row r="20" spans="1:8" x14ac:dyDescent="0.2">
      <c r="A20" s="13" t="s">
        <v>224</v>
      </c>
      <c r="B20" s="385" t="s">
        <v>213</v>
      </c>
      <c r="C20" s="398"/>
      <c r="D20" s="388"/>
      <c r="E20" s="396">
        <v>0.1</v>
      </c>
      <c r="F20" s="47"/>
      <c r="G20" s="21"/>
    </row>
    <row r="21" spans="1:8" x14ac:dyDescent="0.2">
      <c r="A21" s="13" t="s">
        <v>228</v>
      </c>
      <c r="B21" s="385" t="s">
        <v>233</v>
      </c>
      <c r="C21" s="398"/>
      <c r="D21" s="388"/>
      <c r="E21" s="396">
        <v>0.05</v>
      </c>
      <c r="F21" s="47"/>
      <c r="G21" s="21"/>
    </row>
    <row r="22" spans="1:8" x14ac:dyDescent="0.2">
      <c r="A22" s="13" t="s">
        <v>225</v>
      </c>
      <c r="B22" s="385" t="s">
        <v>137</v>
      </c>
      <c r="C22" s="398"/>
      <c r="D22" s="387"/>
      <c r="E22" s="396">
        <v>0.1</v>
      </c>
      <c r="F22" s="47"/>
      <c r="G22" s="21"/>
    </row>
    <row r="23" spans="1:8" x14ac:dyDescent="0.2">
      <c r="A23" s="13" t="s">
        <v>226</v>
      </c>
      <c r="B23" s="399" t="s">
        <v>229</v>
      </c>
      <c r="C23" s="400"/>
      <c r="D23" s="401"/>
      <c r="E23" s="397">
        <v>0.1</v>
      </c>
      <c r="F23" s="47"/>
      <c r="G23" s="21"/>
    </row>
    <row r="24" spans="1:8" hidden="1" x14ac:dyDescent="0.2">
      <c r="A24" s="13" t="s">
        <v>231</v>
      </c>
      <c r="B24" s="399" t="s">
        <v>232</v>
      </c>
      <c r="C24" s="404"/>
      <c r="D24" s="403"/>
      <c r="E24" s="397">
        <f>E23</f>
        <v>0.1</v>
      </c>
      <c r="F24" s="47"/>
      <c r="G24" s="21"/>
    </row>
    <row r="25" spans="1:8" x14ac:dyDescent="0.2">
      <c r="B25" s="385" t="s">
        <v>234</v>
      </c>
      <c r="C25" s="386"/>
      <c r="D25" s="387"/>
      <c r="E25" s="81">
        <v>0.08</v>
      </c>
      <c r="F25" s="47"/>
      <c r="G25" s="21"/>
    </row>
    <row r="26" spans="1:8" x14ac:dyDescent="0.2">
      <c r="B26" s="385" t="s">
        <v>145</v>
      </c>
      <c r="C26" s="386"/>
      <c r="D26" s="387"/>
      <c r="E26" s="81">
        <v>0.03</v>
      </c>
      <c r="F26" s="47"/>
      <c r="G26" s="21"/>
    </row>
    <row r="27" spans="1:8" x14ac:dyDescent="0.2">
      <c r="B27" s="385" t="s">
        <v>138</v>
      </c>
      <c r="C27" s="386"/>
      <c r="D27" s="387"/>
      <c r="E27" s="81">
        <v>0.05</v>
      </c>
      <c r="F27" s="47"/>
      <c r="G27" s="21"/>
    </row>
    <row r="28" spans="1:8" x14ac:dyDescent="0.2">
      <c r="B28" s="385" t="s">
        <v>139</v>
      </c>
      <c r="C28" s="386"/>
      <c r="D28" s="387"/>
      <c r="E28" s="81">
        <v>0.05</v>
      </c>
      <c r="F28" s="47"/>
      <c r="G28" s="21"/>
    </row>
    <row r="29" spans="1:8" x14ac:dyDescent="0.2">
      <c r="B29" s="385" t="s">
        <v>236</v>
      </c>
      <c r="C29" s="386"/>
      <c r="D29" s="387"/>
      <c r="E29" s="81">
        <v>0.03</v>
      </c>
      <c r="F29" s="47"/>
      <c r="G29" s="21"/>
    </row>
    <row r="30" spans="1:8" ht="38.25" x14ac:dyDescent="0.2">
      <c r="B30" s="389" t="s">
        <v>212</v>
      </c>
      <c r="C30" s="393"/>
      <c r="D30" s="394"/>
      <c r="E30" s="108" t="s">
        <v>164</v>
      </c>
      <c r="F30" s="47"/>
      <c r="G30" s="21"/>
    </row>
    <row r="31" spans="1:8" x14ac:dyDescent="0.2">
      <c r="B31" s="385" t="s">
        <v>148</v>
      </c>
      <c r="C31" s="386"/>
      <c r="D31" s="387"/>
      <c r="E31" s="81">
        <v>0.05</v>
      </c>
      <c r="F31" s="47"/>
      <c r="G31" s="21"/>
    </row>
    <row r="32" spans="1:8" x14ac:dyDescent="0.2">
      <c r="B32" s="385" t="s">
        <v>168</v>
      </c>
      <c r="C32" s="386"/>
      <c r="D32" s="387"/>
      <c r="E32" s="81">
        <v>0.03</v>
      </c>
      <c r="F32" s="47"/>
      <c r="G32" s="21"/>
    </row>
    <row r="33" spans="2:7" x14ac:dyDescent="0.2">
      <c r="B33" s="385" t="s">
        <v>159</v>
      </c>
      <c r="C33" s="386"/>
      <c r="D33" s="387"/>
      <c r="E33" s="111">
        <v>0.15</v>
      </c>
      <c r="F33"/>
      <c r="G33" s="21"/>
    </row>
    <row r="34" spans="2:7" ht="25.5" x14ac:dyDescent="0.2">
      <c r="B34" s="424" t="s">
        <v>162</v>
      </c>
      <c r="C34" s="425"/>
      <c r="D34" s="112" t="s">
        <v>160</v>
      </c>
      <c r="E34" s="111">
        <v>0.1</v>
      </c>
      <c r="G34" s="21"/>
    </row>
    <row r="35" spans="2:7" x14ac:dyDescent="0.2">
      <c r="B35" s="426"/>
      <c r="C35" s="427"/>
      <c r="D35" s="113" t="s">
        <v>161</v>
      </c>
      <c r="E35" s="111">
        <v>0.15</v>
      </c>
      <c r="G35" s="21"/>
    </row>
    <row r="36" spans="2:7" x14ac:dyDescent="0.2">
      <c r="B36" s="13"/>
      <c r="C36" s="13"/>
      <c r="D36" s="13"/>
      <c r="E36" s="107"/>
      <c r="F36" s="47"/>
      <c r="G36" s="21"/>
    </row>
    <row r="37" spans="2:7" customFormat="1" x14ac:dyDescent="0.2">
      <c r="E37" s="109" t="s">
        <v>157</v>
      </c>
    </row>
    <row r="38" spans="2:7" x14ac:dyDescent="0.2">
      <c r="B38" s="82" t="s">
        <v>143</v>
      </c>
      <c r="C38" s="110" t="s">
        <v>133</v>
      </c>
      <c r="D38" s="110" t="s">
        <v>163</v>
      </c>
      <c r="E38" s="110" t="s">
        <v>134</v>
      </c>
      <c r="F38" s="13"/>
    </row>
    <row r="39" spans="2:7" x14ac:dyDescent="0.2">
      <c r="B39" s="82" t="s">
        <v>144</v>
      </c>
      <c r="C39" s="83" t="s">
        <v>140</v>
      </c>
      <c r="D39" s="83" t="s">
        <v>141</v>
      </c>
      <c r="E39" s="83" t="s">
        <v>142</v>
      </c>
      <c r="F39" s="13"/>
    </row>
    <row r="40" spans="2:7" customFormat="1" ht="13.15" customHeight="1" x14ac:dyDescent="0.2"/>
    <row r="41" spans="2:7" customFormat="1" ht="13.15" customHeight="1" x14ac:dyDescent="0.2">
      <c r="E41" s="109" t="s">
        <v>158</v>
      </c>
    </row>
    <row r="42" spans="2:7" ht="13.15" customHeight="1" x14ac:dyDescent="0.2">
      <c r="B42" s="82" t="s">
        <v>143</v>
      </c>
      <c r="C42" s="110" t="s">
        <v>165</v>
      </c>
      <c r="D42" s="110" t="s">
        <v>166</v>
      </c>
      <c r="E42" s="110" t="s">
        <v>167</v>
      </c>
    </row>
    <row r="43" spans="2:7" ht="25.5" x14ac:dyDescent="0.2">
      <c r="B43" s="106" t="s">
        <v>153</v>
      </c>
      <c r="C43" s="83" t="s">
        <v>154</v>
      </c>
      <c r="D43" s="83" t="s">
        <v>155</v>
      </c>
      <c r="E43" s="83" t="s">
        <v>156</v>
      </c>
    </row>
    <row r="44" spans="2:7" ht="13.15" customHeight="1" x14ac:dyDescent="0.2">
      <c r="B44" s="104"/>
      <c r="C44" s="105"/>
      <c r="D44" s="105"/>
      <c r="E44" s="105"/>
    </row>
    <row r="45" spans="2:7" ht="13.15" customHeight="1" x14ac:dyDescent="0.35">
      <c r="B45" s="48"/>
      <c r="C45" s="48"/>
      <c r="D45" s="48"/>
    </row>
    <row r="46" spans="2:7" x14ac:dyDescent="0.2">
      <c r="B46" s="135" t="s">
        <v>135</v>
      </c>
    </row>
  </sheetData>
  <mergeCells count="1">
    <mergeCell ref="B34:C35"/>
  </mergeCells>
  <phoneticPr fontId="0" type="noConversion"/>
  <hyperlinks>
    <hyperlink ref="G1" location="'2'!A1" display="Оглавление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Header>&amp;A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B1:H62"/>
  <sheetViews>
    <sheetView showGridLines="0" showRowColHeaders="0" view="pageBreakPreview" topLeftCell="A28" zoomScaleNormal="75" zoomScaleSheetLayoutView="100" workbookViewId="0">
      <selection activeCell="J28" sqref="J28"/>
    </sheetView>
  </sheetViews>
  <sheetFormatPr defaultColWidth="8.85546875" defaultRowHeight="12.75" x14ac:dyDescent="0.2"/>
  <cols>
    <col min="1" max="3" width="9.7109375" style="154" customWidth="1"/>
    <col min="4" max="8" width="12.7109375" style="154" customWidth="1"/>
    <col min="9" max="9" width="9.42578125" style="154" bestFit="1" customWidth="1"/>
    <col min="10" max="16384" width="8.85546875" style="154"/>
  </cols>
  <sheetData>
    <row r="1" spans="2:8" s="144" customFormat="1" x14ac:dyDescent="0.2">
      <c r="G1" s="145">
        <v>43241</v>
      </c>
      <c r="H1" s="146" t="s">
        <v>114</v>
      </c>
    </row>
    <row r="2" spans="2:8" s="144" customFormat="1" ht="21" customHeight="1" x14ac:dyDescent="0.2">
      <c r="B2" s="159" t="s">
        <v>108</v>
      </c>
      <c r="C2" s="160"/>
      <c r="D2" s="160"/>
      <c r="E2" s="161"/>
      <c r="F2" s="162" t="s">
        <v>109</v>
      </c>
      <c r="G2" s="163"/>
    </row>
    <row r="3" spans="2:8" s="144" customFormat="1" ht="24.75" customHeight="1" x14ac:dyDescent="0.2">
      <c r="B3" s="155"/>
      <c r="C3" s="155"/>
      <c r="D3" s="150" t="s">
        <v>147</v>
      </c>
      <c r="E3" s="148"/>
      <c r="F3" s="149" t="s">
        <v>124</v>
      </c>
      <c r="G3" s="150"/>
    </row>
    <row r="4" spans="2:8" s="144" customFormat="1" x14ac:dyDescent="0.2">
      <c r="B4" s="169" t="s">
        <v>196</v>
      </c>
      <c r="C4" s="168" t="s">
        <v>195</v>
      </c>
      <c r="D4" s="139" t="s">
        <v>191</v>
      </c>
      <c r="E4" s="140" t="s">
        <v>192</v>
      </c>
      <c r="F4" s="139" t="s">
        <v>193</v>
      </c>
      <c r="G4" s="141" t="s">
        <v>194</v>
      </c>
    </row>
    <row r="5" spans="2:8" s="144" customFormat="1" x14ac:dyDescent="0.2">
      <c r="B5" s="170" t="s">
        <v>110</v>
      </c>
      <c r="C5" s="167"/>
      <c r="D5" s="164"/>
      <c r="E5" s="164"/>
      <c r="F5" s="164"/>
      <c r="G5" s="164"/>
    </row>
    <row r="6" spans="2:8" s="144" customFormat="1" x14ac:dyDescent="0.2">
      <c r="B6" s="171">
        <v>1.8</v>
      </c>
      <c r="C6" s="166">
        <v>16</v>
      </c>
      <c r="D6" s="151"/>
      <c r="E6" s="151">
        <f>ROUND(7535.52*1.05,2)</f>
        <v>7912.3</v>
      </c>
      <c r="F6" s="151"/>
      <c r="G6" s="151">
        <f t="shared" ref="G6:G18" si="0">E6/C6*1000</f>
        <v>494518.75</v>
      </c>
    </row>
    <row r="7" spans="2:8" s="144" customFormat="1" x14ac:dyDescent="0.2">
      <c r="B7" s="171">
        <v>2.2000000000000002</v>
      </c>
      <c r="C7" s="166">
        <v>23.7</v>
      </c>
      <c r="D7" s="151"/>
      <c r="E7" s="151">
        <f>ROUND(8278.04*1.05,2)</f>
        <v>8691.94</v>
      </c>
      <c r="F7" s="151"/>
      <c r="G7" s="151">
        <f t="shared" si="0"/>
        <v>366748.5232067511</v>
      </c>
    </row>
    <row r="8" spans="2:8" s="144" customFormat="1" x14ac:dyDescent="0.2">
      <c r="B8" s="171">
        <v>2.4</v>
      </c>
      <c r="C8" s="166">
        <v>29.4</v>
      </c>
      <c r="D8" s="151"/>
      <c r="E8" s="151">
        <f>ROUND(9526.54*1.05,2)</f>
        <v>10002.870000000001</v>
      </c>
      <c r="F8" s="151"/>
      <c r="G8" s="151">
        <f t="shared" si="0"/>
        <v>340233.67346938781</v>
      </c>
    </row>
    <row r="9" spans="2:8" s="144" customFormat="1" x14ac:dyDescent="0.2">
      <c r="B9" s="171">
        <v>2.5</v>
      </c>
      <c r="C9" s="166">
        <v>31.4</v>
      </c>
      <c r="D9" s="151"/>
      <c r="E9" s="151">
        <f>ROUND(10056.47*1.05,2)</f>
        <v>10559.29</v>
      </c>
      <c r="F9" s="151"/>
      <c r="G9" s="151">
        <f t="shared" si="0"/>
        <v>336283.12101910828</v>
      </c>
    </row>
    <row r="10" spans="2:8" s="144" customFormat="1" x14ac:dyDescent="0.2">
      <c r="B10" s="172" t="s">
        <v>111</v>
      </c>
      <c r="C10" s="164"/>
      <c r="D10" s="164"/>
      <c r="E10" s="164"/>
      <c r="F10" s="164"/>
      <c r="G10" s="164"/>
    </row>
    <row r="11" spans="2:8" s="144" customFormat="1" x14ac:dyDescent="0.2">
      <c r="B11" s="171">
        <v>3.2</v>
      </c>
      <c r="C11" s="166">
        <v>54</v>
      </c>
      <c r="D11" s="151"/>
      <c r="E11" s="151">
        <f>ROUND(21543.03*1.05,2)</f>
        <v>22620.18</v>
      </c>
      <c r="F11" s="151"/>
      <c r="G11" s="151">
        <f t="shared" si="0"/>
        <v>418892.22222222225</v>
      </c>
    </row>
    <row r="12" spans="2:8" s="144" customFormat="1" x14ac:dyDescent="0.2">
      <c r="B12" s="171">
        <v>3.6</v>
      </c>
      <c r="C12" s="166">
        <v>64.099999999999994</v>
      </c>
      <c r="D12" s="151"/>
      <c r="E12" s="151">
        <f>ROUND(22906.19*1.05,2)</f>
        <v>24051.5</v>
      </c>
      <c r="F12" s="151"/>
      <c r="G12" s="151">
        <f t="shared" si="0"/>
        <v>375218.40873634949</v>
      </c>
    </row>
    <row r="13" spans="2:8" s="144" customFormat="1" x14ac:dyDescent="0.2">
      <c r="B13" s="171">
        <v>4</v>
      </c>
      <c r="C13" s="166">
        <v>81.2</v>
      </c>
      <c r="D13" s="151"/>
      <c r="E13" s="151">
        <f>ROUND(28888.76*1.05,2)</f>
        <v>30333.200000000001</v>
      </c>
      <c r="F13" s="151"/>
      <c r="G13" s="151">
        <f t="shared" si="0"/>
        <v>373561.57635467983</v>
      </c>
    </row>
    <row r="14" spans="2:8" s="144" customFormat="1" x14ac:dyDescent="0.2">
      <c r="B14" s="171">
        <v>4.5</v>
      </c>
      <c r="C14" s="166">
        <v>97.8</v>
      </c>
      <c r="D14" s="151"/>
      <c r="E14" s="151">
        <f>ROUND(32433.59*1.05,2)</f>
        <v>34055.269999999997</v>
      </c>
      <c r="F14" s="151"/>
      <c r="G14" s="151">
        <f t="shared" si="0"/>
        <v>348213.39468302653</v>
      </c>
    </row>
    <row r="15" spans="2:8" s="144" customFormat="1" x14ac:dyDescent="0.2">
      <c r="B15" s="171">
        <v>5</v>
      </c>
      <c r="C15" s="166">
        <v>129.30000000000001</v>
      </c>
      <c r="D15" s="151"/>
      <c r="E15" s="151">
        <f>ROUND(36484.3*1.05,2)</f>
        <v>38308.519999999997</v>
      </c>
      <c r="F15" s="151"/>
      <c r="G15" s="151">
        <f t="shared" si="0"/>
        <v>296276.25676720799</v>
      </c>
    </row>
    <row r="16" spans="2:8" s="144" customFormat="1" x14ac:dyDescent="0.2">
      <c r="B16" s="171">
        <v>5.6</v>
      </c>
      <c r="C16" s="166">
        <v>159.6</v>
      </c>
      <c r="D16" s="151"/>
      <c r="E16" s="151">
        <f>ROUND(42868.35*1.05,2)</f>
        <v>45011.77</v>
      </c>
      <c r="F16" s="151"/>
      <c r="G16" s="151">
        <f t="shared" si="0"/>
        <v>282028.63408521301</v>
      </c>
    </row>
    <row r="17" spans="2:7" s="144" customFormat="1" x14ac:dyDescent="0.2">
      <c r="B17" s="171">
        <v>6</v>
      </c>
      <c r="C17" s="166">
        <v>175.5</v>
      </c>
      <c r="D17" s="151"/>
      <c r="E17" s="151">
        <f>ROUND(43086.25*1.05,2)</f>
        <v>45240.56</v>
      </c>
      <c r="F17" s="151"/>
      <c r="G17" s="151">
        <f t="shared" si="0"/>
        <v>257780.96866096865</v>
      </c>
    </row>
    <row r="18" spans="2:7" s="144" customFormat="1" x14ac:dyDescent="0.2">
      <c r="B18" s="173">
        <v>6.4</v>
      </c>
      <c r="C18" s="174">
        <v>197.5</v>
      </c>
      <c r="D18" s="175"/>
      <c r="E18" s="175">
        <f>ROUND(48053.89*1.05,2)</f>
        <v>50456.58</v>
      </c>
      <c r="F18" s="175"/>
      <c r="G18" s="175">
        <f t="shared" si="0"/>
        <v>255476.35443037975</v>
      </c>
    </row>
    <row r="19" spans="2:7" s="144" customFormat="1" x14ac:dyDescent="0.2">
      <c r="B19" s="152"/>
      <c r="C19" s="152"/>
      <c r="D19" s="153"/>
      <c r="E19" s="153"/>
      <c r="F19" s="153"/>
      <c r="G19" s="153"/>
    </row>
    <row r="20" spans="2:7" s="144" customFormat="1" x14ac:dyDescent="0.2">
      <c r="B20" s="154"/>
      <c r="C20" s="154"/>
      <c r="D20" s="154"/>
      <c r="E20" s="154"/>
      <c r="F20" s="154"/>
      <c r="G20" s="145">
        <v>43435</v>
      </c>
    </row>
    <row r="21" spans="2:7" x14ac:dyDescent="0.2">
      <c r="B21" s="176" t="s">
        <v>15</v>
      </c>
      <c r="C21" s="177"/>
      <c r="D21" s="177"/>
      <c r="E21" s="178"/>
      <c r="F21" s="428" t="s">
        <v>49</v>
      </c>
      <c r="G21" s="429"/>
    </row>
    <row r="22" spans="2:7" x14ac:dyDescent="0.2">
      <c r="B22" s="179" t="s">
        <v>50</v>
      </c>
      <c r="C22" s="180"/>
      <c r="D22" s="180"/>
      <c r="E22" s="181"/>
      <c r="F22" s="430"/>
      <c r="G22" s="431"/>
    </row>
    <row r="23" spans="2:7" ht="24.75" customHeight="1" x14ac:dyDescent="0.2">
      <c r="B23" s="155"/>
      <c r="C23" s="155"/>
      <c r="D23" s="147" t="s">
        <v>147</v>
      </c>
      <c r="E23" s="148"/>
      <c r="F23" s="149" t="s">
        <v>124</v>
      </c>
      <c r="G23" s="150"/>
    </row>
    <row r="24" spans="2:7" x14ac:dyDescent="0.2">
      <c r="B24" s="168" t="s">
        <v>196</v>
      </c>
      <c r="C24" s="168" t="s">
        <v>195</v>
      </c>
      <c r="D24" s="139" t="s">
        <v>191</v>
      </c>
      <c r="E24" s="140" t="s">
        <v>192</v>
      </c>
      <c r="F24" s="139" t="s">
        <v>193</v>
      </c>
      <c r="G24" s="141" t="s">
        <v>194</v>
      </c>
    </row>
    <row r="25" spans="2:7" x14ac:dyDescent="0.2">
      <c r="B25" s="156">
        <v>3.6</v>
      </c>
      <c r="C25" s="165">
        <v>48.8</v>
      </c>
      <c r="D25" s="414">
        <f>ROUND(15850.34*1.03,2)</f>
        <v>16325.85</v>
      </c>
      <c r="E25" s="151">
        <f>ROUND(19100.26*1.03,2)</f>
        <v>19673.27</v>
      </c>
      <c r="F25" s="151">
        <f t="shared" ref="F25" si="1">D25/C25*1000</f>
        <v>334546.10655737709</v>
      </c>
      <c r="G25" s="151">
        <f t="shared" ref="G25" si="2">E25/C25*1000</f>
        <v>403140.77868852462</v>
      </c>
    </row>
    <row r="26" spans="2:7" x14ac:dyDescent="0.2">
      <c r="B26" s="156">
        <v>3.8</v>
      </c>
      <c r="C26" s="165">
        <v>55.1</v>
      </c>
      <c r="D26" s="414">
        <f>ROUND(16910.73*1.03,2)</f>
        <v>17418.05</v>
      </c>
      <c r="E26" s="151">
        <f>ROUND(20428.01*1.03,2)</f>
        <v>21040.85</v>
      </c>
      <c r="F26" s="151">
        <f t="shared" ref="F26:F61" si="3">D26/C26*1000</f>
        <v>316117.05989110703</v>
      </c>
      <c r="G26" s="151">
        <f t="shared" ref="G26:G61" si="4">E26/C26*1000</f>
        <v>381866.60617059888</v>
      </c>
    </row>
    <row r="27" spans="2:7" x14ac:dyDescent="0.2">
      <c r="B27" s="156">
        <v>4.0999999999999996</v>
      </c>
      <c r="C27" s="165">
        <v>64.099999999999994</v>
      </c>
      <c r="D27" s="414">
        <f>ROUND(18789.48*1.03,2)</f>
        <v>19353.16</v>
      </c>
      <c r="E27" s="151">
        <f>ROUND(22343.1*1.03,2)</f>
        <v>23013.39</v>
      </c>
      <c r="F27" s="151">
        <f t="shared" si="3"/>
        <v>301921.37285491423</v>
      </c>
      <c r="G27" s="151">
        <f t="shared" si="4"/>
        <v>359023.24492979719</v>
      </c>
    </row>
    <row r="28" spans="2:7" x14ac:dyDescent="0.2">
      <c r="B28" s="156">
        <v>4.5</v>
      </c>
      <c r="C28" s="165">
        <v>73.900000000000006</v>
      </c>
      <c r="D28" s="151">
        <f>ROUND(20108.56*1.03,2)</f>
        <v>20711.82</v>
      </c>
      <c r="E28" s="151">
        <f>ROUND(24289.31*1.03,2)</f>
        <v>25017.99</v>
      </c>
      <c r="F28" s="151">
        <f t="shared" si="3"/>
        <v>280268.20027063601</v>
      </c>
      <c r="G28" s="151">
        <f t="shared" si="4"/>
        <v>338538.43031123135</v>
      </c>
    </row>
    <row r="29" spans="2:7" x14ac:dyDescent="0.2">
      <c r="B29" s="156">
        <v>4.8</v>
      </c>
      <c r="C29" s="165">
        <v>84.4</v>
      </c>
      <c r="D29" s="151">
        <f>ROUND(21217.61*1.03,2)</f>
        <v>21854.14</v>
      </c>
      <c r="E29" s="151">
        <f>ROUND(26027.28*1.03,2)</f>
        <v>26808.1</v>
      </c>
      <c r="F29" s="151">
        <f t="shared" si="3"/>
        <v>258935.30805687202</v>
      </c>
      <c r="G29" s="151">
        <f t="shared" si="4"/>
        <v>317631.5165876777</v>
      </c>
    </row>
    <row r="30" spans="2:7" x14ac:dyDescent="0.2">
      <c r="B30" s="156">
        <v>5.0999999999999996</v>
      </c>
      <c r="C30" s="165">
        <v>95.5</v>
      </c>
      <c r="D30" s="151">
        <f>ROUND(22291.72*1.03,2)</f>
        <v>22960.47</v>
      </c>
      <c r="E30" s="151">
        <f>ROUND(27349.53*1.03,2)</f>
        <v>28170.02</v>
      </c>
      <c r="F30" s="151">
        <f t="shared" si="3"/>
        <v>240423.76963350788</v>
      </c>
      <c r="G30" s="151">
        <f t="shared" si="4"/>
        <v>294974.0314136126</v>
      </c>
    </row>
    <row r="31" spans="2:7" x14ac:dyDescent="0.2">
      <c r="B31" s="156">
        <v>5.6</v>
      </c>
      <c r="C31" s="165">
        <v>116.5</v>
      </c>
      <c r="D31" s="151">
        <f>ROUND(25936.18*1.03,2)</f>
        <v>26714.27</v>
      </c>
      <c r="E31" s="151">
        <f>ROUND(28706.03*1.03,2)</f>
        <v>29567.21</v>
      </c>
      <c r="F31" s="151">
        <f t="shared" si="3"/>
        <v>229307.03862660946</v>
      </c>
      <c r="G31" s="151">
        <f t="shared" si="4"/>
        <v>253795.79399141631</v>
      </c>
    </row>
    <row r="32" spans="2:7" x14ac:dyDescent="0.2">
      <c r="B32" s="156">
        <v>6.2</v>
      </c>
      <c r="C32" s="165">
        <v>141.6</v>
      </c>
      <c r="D32" s="151">
        <f>ROUND(27625.5*1.03,2)</f>
        <v>28454.27</v>
      </c>
      <c r="E32" s="151">
        <f>ROUND(32473.89*1.03,2)</f>
        <v>33448.11</v>
      </c>
      <c r="F32" s="151">
        <f t="shared" si="3"/>
        <v>200948.23446327684</v>
      </c>
      <c r="G32" s="151">
        <f t="shared" si="4"/>
        <v>236215.46610169491</v>
      </c>
    </row>
    <row r="33" spans="2:8" x14ac:dyDescent="0.2">
      <c r="B33" s="156">
        <v>6.9</v>
      </c>
      <c r="C33" s="165">
        <v>176.6</v>
      </c>
      <c r="D33" s="151">
        <f>ROUND(30595.22*1.03,2)</f>
        <v>31513.08</v>
      </c>
      <c r="E33" s="151">
        <f>ROUND(36389.56*1.03,2)</f>
        <v>37481.25</v>
      </c>
      <c r="F33" s="151">
        <f t="shared" si="3"/>
        <v>178443.26160815405</v>
      </c>
      <c r="G33" s="151">
        <f t="shared" si="4"/>
        <v>212238.10872027182</v>
      </c>
    </row>
    <row r="34" spans="2:8" x14ac:dyDescent="0.2">
      <c r="B34" s="156">
        <v>7.6</v>
      </c>
      <c r="C34" s="165">
        <v>211</v>
      </c>
      <c r="D34" s="151">
        <f>ROUND(34539.86*1.03,2)</f>
        <v>35576.06</v>
      </c>
      <c r="E34" s="151">
        <f>ROUND(41078.37*1.03,2)</f>
        <v>42310.720000000001</v>
      </c>
      <c r="F34" s="151">
        <f t="shared" si="3"/>
        <v>168606.91943127962</v>
      </c>
      <c r="G34" s="151">
        <f t="shared" si="4"/>
        <v>200524.7393364929</v>
      </c>
    </row>
    <row r="35" spans="2:8" x14ac:dyDescent="0.2">
      <c r="B35" s="156">
        <v>8.3000000000000007</v>
      </c>
      <c r="C35" s="165">
        <v>256</v>
      </c>
      <c r="D35" s="151">
        <f>ROUND(39427.21*1.03,2)</f>
        <v>40610.03</v>
      </c>
      <c r="E35" s="151">
        <f>ROUND(46854.41*1.03,2)</f>
        <v>48260.04</v>
      </c>
      <c r="F35" s="151">
        <f t="shared" si="3"/>
        <v>158632.9296875</v>
      </c>
      <c r="G35" s="151">
        <f t="shared" si="4"/>
        <v>188515.78125</v>
      </c>
    </row>
    <row r="36" spans="2:8" x14ac:dyDescent="0.2">
      <c r="B36" s="156">
        <v>9.1</v>
      </c>
      <c r="C36" s="165">
        <v>305</v>
      </c>
      <c r="D36" s="151">
        <f>ROUND(44314.53*1.03,2)</f>
        <v>45643.97</v>
      </c>
      <c r="E36" s="151">
        <f>ROUND(52701.03*1.03,2)</f>
        <v>54282.06</v>
      </c>
      <c r="F36" s="151">
        <f t="shared" si="3"/>
        <v>149652.36065573772</v>
      </c>
      <c r="G36" s="151">
        <f t="shared" si="4"/>
        <v>177973.96721311475</v>
      </c>
    </row>
    <row r="37" spans="2:8" x14ac:dyDescent="0.2">
      <c r="B37" s="156">
        <v>9.6</v>
      </c>
      <c r="C37" s="165">
        <v>358.6</v>
      </c>
      <c r="D37" s="151">
        <f>ROUND(47663.12*1.03,2)</f>
        <v>49093.01</v>
      </c>
      <c r="E37" s="151">
        <f>ROUND(58310.89*1.03,2)</f>
        <v>60060.22</v>
      </c>
      <c r="F37" s="151">
        <f t="shared" si="3"/>
        <v>136901.86837702175</v>
      </c>
      <c r="G37" s="151">
        <f t="shared" si="4"/>
        <v>167485.27607361961</v>
      </c>
    </row>
    <row r="38" spans="2:8" x14ac:dyDescent="0.2">
      <c r="B38" s="156">
        <v>11</v>
      </c>
      <c r="C38" s="165">
        <v>461.6</v>
      </c>
      <c r="D38" s="151">
        <f>ROUND(58389.41*1.03,2)</f>
        <v>60141.09</v>
      </c>
      <c r="E38" s="151">
        <f>ROUND(73481.11*1.03,2)</f>
        <v>75685.539999999994</v>
      </c>
      <c r="F38" s="151">
        <f t="shared" si="3"/>
        <v>130288.32322357019</v>
      </c>
      <c r="G38" s="151">
        <f t="shared" si="4"/>
        <v>163963.47487001732</v>
      </c>
    </row>
    <row r="39" spans="2:8" x14ac:dyDescent="0.2">
      <c r="B39" s="156">
        <v>12</v>
      </c>
      <c r="C39" s="165">
        <v>527</v>
      </c>
      <c r="D39" s="151">
        <f>ROUND(66044.24*1.03,2)</f>
        <v>68025.570000000007</v>
      </c>
      <c r="E39" s="151">
        <f>ROUND(83118.59*1.03,2)</f>
        <v>85612.15</v>
      </c>
      <c r="F39" s="151">
        <f t="shared" si="3"/>
        <v>129080.77798861481</v>
      </c>
      <c r="G39" s="151">
        <f t="shared" si="4"/>
        <v>162451.89753320682</v>
      </c>
    </row>
    <row r="40" spans="2:8" x14ac:dyDescent="0.2">
      <c r="B40" s="156">
        <v>13</v>
      </c>
      <c r="C40" s="165">
        <v>596.6</v>
      </c>
      <c r="D40" s="151">
        <f>ROUND(71668.52*1.03,2)</f>
        <v>73818.58</v>
      </c>
      <c r="E40" s="151">
        <f>ROUND(90130.78*1.03,2)</f>
        <v>92834.7</v>
      </c>
      <c r="F40" s="151">
        <f t="shared" si="3"/>
        <v>123732.1153201475</v>
      </c>
      <c r="G40" s="151">
        <f t="shared" si="4"/>
        <v>155606.26885685552</v>
      </c>
    </row>
    <row r="41" spans="2:8" x14ac:dyDescent="0.2">
      <c r="B41" s="156">
        <v>14</v>
      </c>
      <c r="C41" s="165">
        <v>728</v>
      </c>
      <c r="D41" s="151">
        <f>ROUND(84722.51*1.03,2)</f>
        <v>87264.19</v>
      </c>
      <c r="E41" s="151">
        <f>ROUND(106587.9*1.03,2)</f>
        <v>109785.54</v>
      </c>
      <c r="F41" s="151">
        <f t="shared" si="3"/>
        <v>119868.39285714287</v>
      </c>
      <c r="G41" s="151">
        <f t="shared" si="4"/>
        <v>150804.31318681317</v>
      </c>
    </row>
    <row r="42" spans="2:8" x14ac:dyDescent="0.2">
      <c r="B42" s="156">
        <v>15</v>
      </c>
      <c r="C42" s="165">
        <v>844</v>
      </c>
      <c r="D42" s="151">
        <f>ROUND(94601.11*1.03,2)</f>
        <v>97439.14</v>
      </c>
      <c r="E42" s="151">
        <f>ROUND(118975.61*1.03,2)</f>
        <v>122544.88</v>
      </c>
      <c r="F42" s="151">
        <f t="shared" si="3"/>
        <v>115449.21800947867</v>
      </c>
      <c r="G42" s="151">
        <f t="shared" si="4"/>
        <v>145195.35545023697</v>
      </c>
      <c r="H42" s="157"/>
    </row>
    <row r="43" spans="2:8" x14ac:dyDescent="0.2">
      <c r="B43" s="156">
        <v>16.5</v>
      </c>
      <c r="C43" s="165">
        <v>1025</v>
      </c>
      <c r="D43" s="151">
        <f>ROUND(111887.42*1.03,2)</f>
        <v>115244.04</v>
      </c>
      <c r="E43" s="151">
        <f>ROUND(140829.33*1.03,2)</f>
        <v>145054.21</v>
      </c>
      <c r="F43" s="151">
        <f t="shared" si="3"/>
        <v>112433.20975609755</v>
      </c>
      <c r="G43" s="151">
        <f t="shared" si="4"/>
        <v>141516.30243902438</v>
      </c>
      <c r="H43" s="157"/>
    </row>
    <row r="44" spans="2:8" x14ac:dyDescent="0.2">
      <c r="B44" s="156">
        <v>18</v>
      </c>
      <c r="C44" s="165">
        <v>1220</v>
      </c>
      <c r="D44" s="151">
        <f>ROUND(132207.37*1.03,2)</f>
        <v>136173.59</v>
      </c>
      <c r="E44" s="151">
        <f>ROUND(166277.99*1.03,2)</f>
        <v>171266.33</v>
      </c>
      <c r="F44" s="151">
        <f t="shared" si="3"/>
        <v>111617.69672131147</v>
      </c>
      <c r="G44" s="151">
        <f t="shared" si="4"/>
        <v>140382.23770491802</v>
      </c>
      <c r="H44" s="157"/>
    </row>
    <row r="45" spans="2:8" x14ac:dyDescent="0.2">
      <c r="B45" s="156">
        <v>19.5</v>
      </c>
      <c r="C45" s="165">
        <v>1405</v>
      </c>
      <c r="D45" s="151">
        <f>ROUND(149916.29*1.03,2)</f>
        <v>154413.78</v>
      </c>
      <c r="E45" s="151">
        <f>ROUND(188600.74*1.03,2)</f>
        <v>194258.76</v>
      </c>
      <c r="F45" s="151">
        <f t="shared" si="3"/>
        <v>109903.04626334518</v>
      </c>
      <c r="G45" s="151">
        <f t="shared" si="4"/>
        <v>138262.46263345197</v>
      </c>
      <c r="H45" s="157"/>
    </row>
    <row r="46" spans="2:8" x14ac:dyDescent="0.2">
      <c r="B46" s="156">
        <v>21</v>
      </c>
      <c r="C46" s="165">
        <v>1635</v>
      </c>
      <c r="D46" s="151">
        <f>ROUND(171315.44*1.03,2)</f>
        <v>176454.9</v>
      </c>
      <c r="E46" s="151">
        <f>ROUND(215634.62*1.03,2)</f>
        <v>222103.66</v>
      </c>
      <c r="F46" s="151">
        <f t="shared" si="3"/>
        <v>107923.4862385321</v>
      </c>
      <c r="G46" s="151">
        <f t="shared" si="4"/>
        <v>135843.21712538227</v>
      </c>
      <c r="H46" s="157"/>
    </row>
    <row r="47" spans="2:8" x14ac:dyDescent="0.2">
      <c r="B47" s="156">
        <v>22.5</v>
      </c>
      <c r="C47" s="165">
        <v>1850</v>
      </c>
      <c r="D47" s="151">
        <f>ROUND(192883.31*1.03,2)</f>
        <v>198669.81</v>
      </c>
      <c r="E47" s="151">
        <f>ROUND(242753.78*1.03,2)</f>
        <v>250036.39</v>
      </c>
      <c r="F47" s="151">
        <f t="shared" si="3"/>
        <v>107389.08648648649</v>
      </c>
      <c r="G47" s="151">
        <f t="shared" si="4"/>
        <v>135154.80540540544</v>
      </c>
      <c r="H47" s="157"/>
    </row>
    <row r="48" spans="2:8" x14ac:dyDescent="0.2">
      <c r="B48" s="156">
        <v>24</v>
      </c>
      <c r="C48" s="165">
        <v>2110</v>
      </c>
      <c r="D48" s="151">
        <f>ROUND(217595.43*1.03,2)</f>
        <v>224123.29</v>
      </c>
      <c r="E48" s="151">
        <f>ROUND(273741.08*1.03,2)</f>
        <v>281953.31</v>
      </c>
      <c r="F48" s="151">
        <f t="shared" si="3"/>
        <v>106219.56872037916</v>
      </c>
      <c r="G48" s="151">
        <f t="shared" si="4"/>
        <v>133627.16113744077</v>
      </c>
      <c r="H48" s="157"/>
    </row>
    <row r="49" spans="2:8" x14ac:dyDescent="0.2">
      <c r="B49" s="156">
        <v>25.5</v>
      </c>
      <c r="C49" s="165">
        <v>2390</v>
      </c>
      <c r="D49" s="151">
        <f>ROUND(243734.86*1.03,2)</f>
        <v>251046.91</v>
      </c>
      <c r="E49" s="151">
        <f>ROUND(306644.67*1.03,2)</f>
        <v>315844.01</v>
      </c>
      <c r="F49" s="151">
        <f t="shared" si="3"/>
        <v>105040.54811715482</v>
      </c>
      <c r="G49" s="151">
        <f t="shared" si="4"/>
        <v>132152.30543933055</v>
      </c>
      <c r="H49" s="157"/>
    </row>
    <row r="50" spans="2:8" x14ac:dyDescent="0.2">
      <c r="B50" s="156">
        <v>27</v>
      </c>
      <c r="C50" s="165">
        <v>2685</v>
      </c>
      <c r="D50" s="151">
        <f>ROUND(271035.24*1.03,2)</f>
        <v>279166.3</v>
      </c>
      <c r="E50" s="151">
        <f>ROUND(341031.74*1.03,2)</f>
        <v>351262.69</v>
      </c>
      <c r="F50" s="151">
        <f t="shared" si="3"/>
        <v>103972.55121042831</v>
      </c>
      <c r="G50" s="151">
        <f t="shared" si="4"/>
        <v>130824.09310986963</v>
      </c>
      <c r="H50" s="157"/>
    </row>
    <row r="51" spans="2:8" x14ac:dyDescent="0.2">
      <c r="B51" s="156">
        <v>28</v>
      </c>
      <c r="C51" s="165">
        <v>2910</v>
      </c>
      <c r="D51" s="151">
        <f>ROUND(292169.27*1.03,2)</f>
        <v>300934.34999999998</v>
      </c>
      <c r="E51" s="151">
        <f>ROUND(367744.01*1.03,2)</f>
        <v>378776.33</v>
      </c>
      <c r="F51" s="151">
        <f t="shared" si="3"/>
        <v>103413.86597938144</v>
      </c>
      <c r="G51" s="151">
        <f t="shared" si="4"/>
        <v>130163.68728522338</v>
      </c>
      <c r="H51" s="157"/>
    </row>
    <row r="52" spans="2:8" x14ac:dyDescent="0.2">
      <c r="B52" s="156">
        <v>30.5</v>
      </c>
      <c r="C52" s="165">
        <v>3490</v>
      </c>
      <c r="D52" s="151">
        <f>ROUND(338442.56*1.03,2)</f>
        <v>348595.84</v>
      </c>
      <c r="E52" s="151">
        <f>ROUND(438692.95*1.03,2)</f>
        <v>451853.74</v>
      </c>
      <c r="F52" s="151">
        <f t="shared" si="3"/>
        <v>99884.194842406883</v>
      </c>
      <c r="G52" s="151">
        <f t="shared" si="4"/>
        <v>129470.98567335244</v>
      </c>
      <c r="H52" s="157"/>
    </row>
    <row r="53" spans="2:8" x14ac:dyDescent="0.2">
      <c r="B53" s="156">
        <v>32</v>
      </c>
      <c r="C53" s="165">
        <v>3845</v>
      </c>
      <c r="D53" s="151">
        <f>ROUND(368874.89*1.03,2)</f>
        <v>379941.14</v>
      </c>
      <c r="E53" s="151">
        <f>ROUND(478003.02*1.03,2)</f>
        <v>492343.11</v>
      </c>
      <c r="F53" s="151">
        <f t="shared" si="3"/>
        <v>98814.340702210669</v>
      </c>
      <c r="G53" s="151">
        <f t="shared" si="4"/>
        <v>128047.62288686607</v>
      </c>
      <c r="H53" s="157"/>
    </row>
    <row r="54" spans="2:8" x14ac:dyDescent="0.2">
      <c r="B54" s="156">
        <v>33.5</v>
      </c>
      <c r="C54" s="165">
        <v>4220</v>
      </c>
      <c r="D54" s="151">
        <f>ROUND(402564.13*1.03,2)</f>
        <v>414641.05</v>
      </c>
      <c r="E54" s="151">
        <f>ROUND(521612.79*1.03,2)</f>
        <v>537261.17000000004</v>
      </c>
      <c r="F54" s="151">
        <f t="shared" si="3"/>
        <v>98256.172985781988</v>
      </c>
      <c r="G54" s="151">
        <f t="shared" si="4"/>
        <v>127313.07345971566</v>
      </c>
      <c r="H54" s="157"/>
    </row>
    <row r="55" spans="2:8" x14ac:dyDescent="0.2">
      <c r="B55" s="156">
        <v>37</v>
      </c>
      <c r="C55" s="165">
        <v>5015</v>
      </c>
      <c r="D55" s="151">
        <f>ROUND(478359.06*1.03,2)</f>
        <v>492709.83</v>
      </c>
      <c r="E55" s="151">
        <f>ROUND(619853.47*1.03,2)</f>
        <v>638449.06999999995</v>
      </c>
      <c r="F55" s="151">
        <f t="shared" si="3"/>
        <v>98247.224327018936</v>
      </c>
      <c r="G55" s="151">
        <f t="shared" si="4"/>
        <v>127307.89032901295</v>
      </c>
      <c r="H55" s="157"/>
    </row>
    <row r="56" spans="2:8" x14ac:dyDescent="0.2">
      <c r="B56" s="156">
        <v>39.5</v>
      </c>
      <c r="C56" s="165">
        <v>5740</v>
      </c>
      <c r="D56" s="151">
        <f>ROUND(559520.67*1.03,2)</f>
        <v>576306.29</v>
      </c>
      <c r="E56" s="151">
        <f>ROUND(724885.17*1.03,2)</f>
        <v>746631.73</v>
      </c>
      <c r="F56" s="151">
        <f t="shared" si="3"/>
        <v>100401.79268292684</v>
      </c>
      <c r="G56" s="151">
        <f t="shared" si="4"/>
        <v>130075.21428571428</v>
      </c>
      <c r="H56" s="157"/>
    </row>
    <row r="57" spans="2:8" x14ac:dyDescent="0.2">
      <c r="B57" s="156">
        <v>42</v>
      </c>
      <c r="C57" s="165">
        <v>6535</v>
      </c>
      <c r="D57" s="151">
        <f>ROUND(617430.64*1.03,2)</f>
        <v>635953.56000000006</v>
      </c>
      <c r="E57" s="151">
        <f>ROUND(800157.35*1.03,2)</f>
        <v>824162.07</v>
      </c>
      <c r="F57" s="151">
        <f t="shared" si="3"/>
        <v>97315.005355776593</v>
      </c>
      <c r="G57" s="151">
        <f t="shared" si="4"/>
        <v>126115.08339709257</v>
      </c>
      <c r="H57" s="157"/>
    </row>
    <row r="58" spans="2:8" ht="13.15" customHeight="1" x14ac:dyDescent="0.2">
      <c r="B58" s="156">
        <v>44.5</v>
      </c>
      <c r="C58" s="165">
        <v>7385</v>
      </c>
      <c r="D58" s="151">
        <f>ROUND(716262.32*1.03,2)</f>
        <v>737750.19</v>
      </c>
      <c r="E58" s="151">
        <f>ROUND(928353.18*1.03,2)</f>
        <v>956203.78</v>
      </c>
      <c r="F58" s="151">
        <f t="shared" si="3"/>
        <v>99898.468517264715</v>
      </c>
      <c r="G58" s="151">
        <f t="shared" si="4"/>
        <v>129479.18483412323</v>
      </c>
      <c r="H58" s="157"/>
    </row>
    <row r="59" spans="2:8" ht="13.15" customHeight="1" x14ac:dyDescent="0.2">
      <c r="B59" s="156">
        <v>47.5</v>
      </c>
      <c r="C59" s="165">
        <v>8430</v>
      </c>
      <c r="D59" s="151">
        <f>ROUND(791656.27*1.03,2)</f>
        <v>815405.96</v>
      </c>
      <c r="E59" s="151">
        <f>ROUND(1026304*1.03,2)</f>
        <v>1057093.1200000001</v>
      </c>
      <c r="F59" s="151">
        <f t="shared" si="3"/>
        <v>96726.685646500584</v>
      </c>
      <c r="G59" s="151">
        <f t="shared" si="4"/>
        <v>125396.57413997629</v>
      </c>
      <c r="H59" s="157"/>
    </row>
    <row r="60" spans="2:8" ht="13.15" customHeight="1" x14ac:dyDescent="0.2">
      <c r="B60" s="156">
        <v>51</v>
      </c>
      <c r="C60" s="165">
        <v>9545</v>
      </c>
      <c r="D60" s="151">
        <f>ROUND(890305.25*1.03,2)</f>
        <v>917014.41</v>
      </c>
      <c r="E60" s="151">
        <f>ROUND(1153834.27*1.03,2)</f>
        <v>1188449.3</v>
      </c>
      <c r="F60" s="151">
        <f t="shared" si="3"/>
        <v>96072.751178627557</v>
      </c>
      <c r="G60" s="151">
        <f t="shared" si="4"/>
        <v>124510.14143530645</v>
      </c>
      <c r="H60" s="157"/>
    </row>
    <row r="61" spans="2:8" ht="13.15" customHeight="1" x14ac:dyDescent="0.2">
      <c r="B61" s="184">
        <v>56</v>
      </c>
      <c r="C61" s="185">
        <v>11650</v>
      </c>
      <c r="D61" s="175">
        <f>ROUND(1086080.56*1.03,2)</f>
        <v>1118662.98</v>
      </c>
      <c r="E61" s="175">
        <f>ROUND(1407256.36*1.03,2)</f>
        <v>1449474.05</v>
      </c>
      <c r="F61" s="175">
        <f t="shared" si="3"/>
        <v>96022.57339055794</v>
      </c>
      <c r="G61" s="175">
        <f t="shared" si="4"/>
        <v>124418.37339055794</v>
      </c>
      <c r="H61" s="157"/>
    </row>
    <row r="62" spans="2:8" ht="13.15" customHeight="1" x14ac:dyDescent="0.2">
      <c r="B62" s="158"/>
      <c r="H62" s="157"/>
    </row>
  </sheetData>
  <mergeCells count="1">
    <mergeCell ref="F21:G22"/>
  </mergeCells>
  <phoneticPr fontId="0" type="noConversion"/>
  <hyperlinks>
    <hyperlink ref="H1" location="'2'!A1" display="Оглавление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88" orientation="portrait" r:id="rId1"/>
  <headerFooter alignWithMargins="0">
    <oddHeader>&amp;A</oddHeader>
  </headerFooter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H38"/>
  <sheetViews>
    <sheetView showGridLines="0" showRowColHeaders="0" view="pageBreakPreview" zoomScaleNormal="100" zoomScaleSheetLayoutView="100" workbookViewId="0">
      <selection activeCell="D7" sqref="D7"/>
    </sheetView>
  </sheetViews>
  <sheetFormatPr defaultColWidth="8.85546875" defaultRowHeight="12.75" x14ac:dyDescent="0.2"/>
  <cols>
    <col min="1" max="1" width="9.7109375" style="8" customWidth="1"/>
    <col min="2" max="3" width="9.7109375" style="3" customWidth="1"/>
    <col min="4" max="5" width="12.5703125" style="3" customWidth="1"/>
    <col min="6" max="6" width="12.7109375" style="3" customWidth="1"/>
    <col min="7" max="7" width="12.28515625" style="3" customWidth="1"/>
    <col min="8" max="8" width="9.5703125" style="3" bestFit="1" customWidth="1"/>
    <col min="9" max="16384" width="8.85546875" style="3"/>
  </cols>
  <sheetData>
    <row r="1" spans="1:8" ht="12.75" customHeight="1" x14ac:dyDescent="0.2">
      <c r="G1" s="145">
        <v>43160</v>
      </c>
      <c r="H1" s="10" t="s">
        <v>114</v>
      </c>
    </row>
    <row r="2" spans="1:8" ht="12.75" customHeight="1" x14ac:dyDescent="0.2">
      <c r="B2" s="130" t="s">
        <v>4</v>
      </c>
      <c r="C2" s="131"/>
      <c r="D2" s="131"/>
      <c r="E2" s="132"/>
      <c r="F2" s="432" t="s">
        <v>5</v>
      </c>
      <c r="G2" s="433"/>
    </row>
    <row r="3" spans="1:8" ht="12.75" customHeight="1" x14ac:dyDescent="0.2">
      <c r="B3" s="203" t="s">
        <v>6</v>
      </c>
      <c r="C3" s="204"/>
      <c r="D3" s="204"/>
      <c r="E3" s="205"/>
      <c r="F3" s="434"/>
      <c r="G3" s="435"/>
    </row>
    <row r="4" spans="1:8" ht="24.95" customHeight="1" x14ac:dyDescent="0.2">
      <c r="B4" s="129"/>
      <c r="C4" s="129"/>
      <c r="D4" s="198" t="s">
        <v>147</v>
      </c>
      <c r="E4" s="196"/>
      <c r="F4" s="195" t="s">
        <v>124</v>
      </c>
      <c r="G4" s="197"/>
    </row>
    <row r="5" spans="1:8" ht="12.75" customHeight="1" x14ac:dyDescent="0.2">
      <c r="A5" s="36"/>
      <c r="B5" s="206" t="s">
        <v>196</v>
      </c>
      <c r="C5" s="202" t="s">
        <v>195</v>
      </c>
      <c r="D5" s="199" t="s">
        <v>191</v>
      </c>
      <c r="E5" s="200" t="s">
        <v>192</v>
      </c>
      <c r="F5" s="201" t="s">
        <v>193</v>
      </c>
      <c r="G5" s="208" t="s">
        <v>194</v>
      </c>
    </row>
    <row r="6" spans="1:8" ht="15" customHeight="1" x14ac:dyDescent="0.2">
      <c r="A6" s="29"/>
      <c r="B6" s="207">
        <v>0.65</v>
      </c>
      <c r="C6" s="98">
        <v>2.4</v>
      </c>
      <c r="D6" s="78">
        <f>ROUND(1992.23*1.07,2)</f>
        <v>2131.69</v>
      </c>
      <c r="E6" s="78">
        <f>ROUND(2505.74*1.07,2)</f>
        <v>2681.14</v>
      </c>
      <c r="F6" s="78">
        <f t="shared" ref="F6:F38" si="0">D6/C6*1000</f>
        <v>888204.16666666674</v>
      </c>
      <c r="G6" s="209">
        <f t="shared" ref="G6:G38" si="1">E6/C6*1000</f>
        <v>1117141.6666666667</v>
      </c>
      <c r="H6" s="37"/>
    </row>
    <row r="7" spans="1:8" ht="15" customHeight="1" x14ac:dyDescent="0.2">
      <c r="A7" s="30"/>
      <c r="B7" s="207">
        <v>0.75</v>
      </c>
      <c r="C7" s="98">
        <v>2.8</v>
      </c>
      <c r="D7" s="78">
        <f>ROUND(2038.95*1.07,2)</f>
        <v>2181.6799999999998</v>
      </c>
      <c r="E7" s="78">
        <f>ROUND(2564.43*1.07,2)</f>
        <v>2743.94</v>
      </c>
      <c r="F7" s="78">
        <f t="shared" si="0"/>
        <v>779171.42857142852</v>
      </c>
      <c r="G7" s="209">
        <f t="shared" si="1"/>
        <v>979978.57142857148</v>
      </c>
      <c r="H7" s="37"/>
    </row>
    <row r="8" spans="1:8" ht="15" customHeight="1" x14ac:dyDescent="0.2">
      <c r="A8" s="30"/>
      <c r="B8" s="207">
        <v>0.8</v>
      </c>
      <c r="C8" s="98">
        <v>3.3</v>
      </c>
      <c r="D8" s="78">
        <f>ROUND(2111.57*1.07,2)</f>
        <v>2259.38</v>
      </c>
      <c r="E8" s="78">
        <f>ROUND(2655.82*1.07,2)</f>
        <v>2841.73</v>
      </c>
      <c r="F8" s="78">
        <f t="shared" si="0"/>
        <v>684660.60606060619</v>
      </c>
      <c r="G8" s="209">
        <f t="shared" si="1"/>
        <v>861130.30303030298</v>
      </c>
      <c r="H8" s="37"/>
    </row>
    <row r="9" spans="1:8" ht="15" customHeight="1" x14ac:dyDescent="0.2">
      <c r="A9" s="30"/>
      <c r="B9" s="207">
        <v>0.85</v>
      </c>
      <c r="C9" s="98">
        <v>3.8</v>
      </c>
      <c r="D9" s="78">
        <f>ROUND(2199.75*1.07,2)</f>
        <v>2353.73</v>
      </c>
      <c r="E9" s="78">
        <f>ROUND(2766.75*1.07,2)</f>
        <v>2960.42</v>
      </c>
      <c r="F9" s="78">
        <f t="shared" si="0"/>
        <v>619402.63157894742</v>
      </c>
      <c r="G9" s="209">
        <f t="shared" si="1"/>
        <v>779057.89473684214</v>
      </c>
      <c r="H9" s="37"/>
    </row>
    <row r="10" spans="1:8" ht="15" customHeight="1" x14ac:dyDescent="0.2">
      <c r="A10" s="30"/>
      <c r="B10" s="207">
        <v>0.9</v>
      </c>
      <c r="C10" s="98">
        <v>4.3</v>
      </c>
      <c r="D10" s="78">
        <f>ROUND(2282.77*1.07,2)</f>
        <v>2442.56</v>
      </c>
      <c r="E10" s="78">
        <f>ROUND(2871.13*1.07,2)</f>
        <v>3072.11</v>
      </c>
      <c r="F10" s="78">
        <f t="shared" si="0"/>
        <v>568037.2093023255</v>
      </c>
      <c r="G10" s="209">
        <f t="shared" si="1"/>
        <v>714444.18604651175</v>
      </c>
      <c r="H10" s="37"/>
    </row>
    <row r="11" spans="1:8" ht="15" customHeight="1" x14ac:dyDescent="0.2">
      <c r="A11" s="30"/>
      <c r="B11" s="207">
        <v>1</v>
      </c>
      <c r="C11" s="98">
        <v>5.6</v>
      </c>
      <c r="D11" s="78">
        <f>ROUND(2440.45*1.07,2)</f>
        <v>2611.2800000000002</v>
      </c>
      <c r="E11" s="78">
        <f>ROUND(3067.63*1.07,2)</f>
        <v>3282.36</v>
      </c>
      <c r="F11" s="78">
        <f t="shared" si="0"/>
        <v>466300.00000000006</v>
      </c>
      <c r="G11" s="209">
        <f t="shared" si="1"/>
        <v>586135.71428571432</v>
      </c>
      <c r="H11" s="37"/>
    </row>
    <row r="12" spans="1:8" ht="15" customHeight="1" x14ac:dyDescent="0.2">
      <c r="A12" s="30"/>
      <c r="B12" s="207">
        <v>1.1000000000000001</v>
      </c>
      <c r="C12" s="98">
        <v>6.2</v>
      </c>
      <c r="D12" s="78">
        <f>ROUND(2467.77*1.07,2)</f>
        <v>2640.51</v>
      </c>
      <c r="E12" s="78">
        <f>ROUND(2819.84*1.07,2)</f>
        <v>3017.23</v>
      </c>
      <c r="F12" s="78">
        <f t="shared" si="0"/>
        <v>425888.70967741939</v>
      </c>
      <c r="G12" s="209">
        <f t="shared" si="1"/>
        <v>486650</v>
      </c>
      <c r="H12" s="37"/>
    </row>
    <row r="13" spans="1:8" ht="15" customHeight="1" x14ac:dyDescent="0.2">
      <c r="A13" s="30"/>
      <c r="B13" s="207">
        <v>1.2</v>
      </c>
      <c r="C13" s="98">
        <v>7.9</v>
      </c>
      <c r="D13" s="78">
        <f>ROUND(2614.04*1.07,2)</f>
        <v>2797.02</v>
      </c>
      <c r="E13" s="78">
        <f>ROUND(2986.97*1.07,2)</f>
        <v>3196.06</v>
      </c>
      <c r="F13" s="78">
        <f t="shared" si="0"/>
        <v>354053.16455696203</v>
      </c>
      <c r="G13" s="209">
        <f t="shared" si="1"/>
        <v>404564.55696202529</v>
      </c>
      <c r="H13" s="37"/>
    </row>
    <row r="14" spans="1:8" ht="15" customHeight="1" x14ac:dyDescent="0.2">
      <c r="A14" s="30"/>
      <c r="B14" s="207">
        <v>1.4</v>
      </c>
      <c r="C14" s="98">
        <v>10</v>
      </c>
      <c r="D14" s="78">
        <f>ROUND(2731.34*1.07,2)</f>
        <v>2922.53</v>
      </c>
      <c r="E14" s="78">
        <f>ROUND(3121.15*1.07,2)</f>
        <v>3339.63</v>
      </c>
      <c r="F14" s="78">
        <f t="shared" si="0"/>
        <v>292253.00000000006</v>
      </c>
      <c r="G14" s="209">
        <f t="shared" si="1"/>
        <v>333963</v>
      </c>
      <c r="H14" s="37"/>
    </row>
    <row r="15" spans="1:8" ht="15" customHeight="1" x14ac:dyDescent="0.2">
      <c r="A15" s="30"/>
      <c r="B15" s="207">
        <v>1.6</v>
      </c>
      <c r="C15" s="98">
        <v>12.3</v>
      </c>
      <c r="D15" s="78">
        <f>ROUND(3047.98*1.07,2)</f>
        <v>3261.34</v>
      </c>
      <c r="E15" s="78">
        <f>ROUND(3482.87*1.07,2)</f>
        <v>3726.67</v>
      </c>
      <c r="F15" s="78">
        <f t="shared" si="0"/>
        <v>265149.59349593491</v>
      </c>
      <c r="G15" s="209">
        <f t="shared" si="1"/>
        <v>302981.3008130081</v>
      </c>
      <c r="H15" s="37"/>
    </row>
    <row r="16" spans="1:8" ht="15" customHeight="1" x14ac:dyDescent="0.2">
      <c r="A16" s="30"/>
      <c r="B16" s="207">
        <v>1.8</v>
      </c>
      <c r="C16" s="98">
        <v>17.600000000000001</v>
      </c>
      <c r="D16" s="78">
        <f>ROUND(3557.78*1.07,2)</f>
        <v>3806.82</v>
      </c>
      <c r="E16" s="78">
        <f>ROUND(4065.43*1.07,2)</f>
        <v>4350.01</v>
      </c>
      <c r="F16" s="78">
        <f t="shared" si="0"/>
        <v>216296.59090909088</v>
      </c>
      <c r="G16" s="209">
        <f t="shared" si="1"/>
        <v>247159.65909090909</v>
      </c>
      <c r="H16" s="37"/>
    </row>
    <row r="17" spans="1:8" ht="15" customHeight="1" x14ac:dyDescent="0.2">
      <c r="A17" s="30"/>
      <c r="B17" s="207">
        <v>2</v>
      </c>
      <c r="C17" s="98">
        <v>20.7</v>
      </c>
      <c r="D17" s="78">
        <f>ROUND(3841.43*1.07,2)</f>
        <v>4110.33</v>
      </c>
      <c r="E17" s="78">
        <f>ROUND(4391.78*1.07,2)</f>
        <v>4699.2</v>
      </c>
      <c r="F17" s="78">
        <f t="shared" si="0"/>
        <v>198566.66666666666</v>
      </c>
      <c r="G17" s="209">
        <f t="shared" si="1"/>
        <v>227014.4927536232</v>
      </c>
      <c r="H17" s="37"/>
    </row>
    <row r="18" spans="1:8" ht="15" customHeight="1" x14ac:dyDescent="0.2">
      <c r="A18" s="30"/>
      <c r="B18" s="207">
        <v>2.2000000000000002</v>
      </c>
      <c r="C18" s="98">
        <v>23.9</v>
      </c>
      <c r="D18" s="78">
        <f>ROUND(4376.39*1.07,2)</f>
        <v>4682.74</v>
      </c>
      <c r="E18" s="78">
        <f>ROUND(5000.86*1.07,2)</f>
        <v>5350.92</v>
      </c>
      <c r="F18" s="78">
        <f t="shared" si="0"/>
        <v>195930.5439330544</v>
      </c>
      <c r="G18" s="209">
        <f t="shared" si="1"/>
        <v>223887.86610878663</v>
      </c>
      <c r="H18" s="37"/>
    </row>
    <row r="19" spans="1:8" ht="15" customHeight="1" x14ac:dyDescent="0.2">
      <c r="A19" s="30"/>
      <c r="B19" s="207">
        <v>2.4</v>
      </c>
      <c r="C19" s="98">
        <v>31.1</v>
      </c>
      <c r="D19" s="78">
        <f>ROUND(4695.55*1.07,2)</f>
        <v>5024.24</v>
      </c>
      <c r="E19" s="78">
        <f>ROUND(5769.47*1.07,2)</f>
        <v>6173.33</v>
      </c>
      <c r="F19" s="78">
        <f t="shared" si="0"/>
        <v>161551.12540192925</v>
      </c>
      <c r="G19" s="209">
        <f t="shared" si="1"/>
        <v>198499.35691318326</v>
      </c>
      <c r="H19" s="37"/>
    </row>
    <row r="20" spans="1:8" ht="15" customHeight="1" x14ac:dyDescent="0.2">
      <c r="A20" s="30"/>
      <c r="B20" s="207">
        <v>2.8</v>
      </c>
      <c r="C20" s="98">
        <v>39.4</v>
      </c>
      <c r="D20" s="78">
        <f>ROUND(5143.66*1.07,2)</f>
        <v>5503.72</v>
      </c>
      <c r="E20" s="78">
        <f>ROUND(6323.96*1.07,2)</f>
        <v>6766.64</v>
      </c>
      <c r="F20" s="78">
        <f t="shared" si="0"/>
        <v>139688.32487309646</v>
      </c>
      <c r="G20" s="209">
        <f t="shared" si="1"/>
        <v>171742.13197969543</v>
      </c>
      <c r="H20" s="37"/>
    </row>
    <row r="21" spans="1:8" ht="15" customHeight="1" x14ac:dyDescent="0.2">
      <c r="A21" s="30"/>
      <c r="B21" s="207">
        <v>3.1</v>
      </c>
      <c r="C21" s="98">
        <v>49.2</v>
      </c>
      <c r="D21" s="78">
        <f>ROUND(5668.66*1.07,2)</f>
        <v>6065.47</v>
      </c>
      <c r="E21" s="78">
        <f>ROUND(7129.69*1.07,2)</f>
        <v>7628.77</v>
      </c>
      <c r="F21" s="78">
        <f t="shared" si="0"/>
        <v>123281.91056910569</v>
      </c>
      <c r="G21" s="209">
        <f t="shared" si="1"/>
        <v>155056.30081300813</v>
      </c>
      <c r="H21" s="37"/>
    </row>
    <row r="22" spans="1:8" ht="15" customHeight="1" x14ac:dyDescent="0.2">
      <c r="A22" s="30"/>
      <c r="B22" s="207">
        <v>3.4</v>
      </c>
      <c r="C22" s="98">
        <v>59.4</v>
      </c>
      <c r="D22" s="78">
        <f>ROUND(6656.52*1.07,2)</f>
        <v>7122.48</v>
      </c>
      <c r="E22" s="78">
        <f>ROUND(8372.21*1.07,2)</f>
        <v>8958.26</v>
      </c>
      <c r="F22" s="78">
        <f t="shared" si="0"/>
        <v>119907.0707070707</v>
      </c>
      <c r="G22" s="209">
        <f t="shared" si="1"/>
        <v>150812.4579124579</v>
      </c>
      <c r="H22" s="37"/>
    </row>
    <row r="23" spans="1:8" ht="15" customHeight="1" x14ac:dyDescent="0.2">
      <c r="A23" s="30"/>
      <c r="B23" s="207">
        <v>3.7</v>
      </c>
      <c r="C23" s="98">
        <v>70.5</v>
      </c>
      <c r="D23" s="78">
        <f>ROUND(7357.47*1.07,2)</f>
        <v>7872.49</v>
      </c>
      <c r="E23" s="78">
        <f>ROUND(9253.85*1.07,2)</f>
        <v>9901.6200000000008</v>
      </c>
      <c r="F23" s="78">
        <f t="shared" si="0"/>
        <v>111666.52482269504</v>
      </c>
      <c r="G23" s="209">
        <f t="shared" si="1"/>
        <v>140448.51063829788</v>
      </c>
      <c r="H23" s="37"/>
    </row>
    <row r="24" spans="1:8" ht="15" customHeight="1" x14ac:dyDescent="0.2">
      <c r="A24" s="30"/>
      <c r="B24" s="207">
        <v>4</v>
      </c>
      <c r="C24" s="98">
        <v>82.5</v>
      </c>
      <c r="D24" s="78">
        <f>ROUND(8505.34*1.07,2)</f>
        <v>9100.7099999999991</v>
      </c>
      <c r="E24" s="78">
        <f>ROUND(10697.55*1.07,2)</f>
        <v>11446.38</v>
      </c>
      <c r="F24" s="78">
        <f t="shared" si="0"/>
        <v>110311.63636363635</v>
      </c>
      <c r="G24" s="209">
        <f t="shared" si="1"/>
        <v>138744</v>
      </c>
      <c r="H24" s="37"/>
    </row>
    <row r="25" spans="1:8" ht="15" customHeight="1" x14ac:dyDescent="0.2">
      <c r="A25" s="30"/>
      <c r="B25" s="207">
        <v>4.3</v>
      </c>
      <c r="C25" s="98">
        <v>95.6</v>
      </c>
      <c r="D25" s="78">
        <f>ROUND(9615.54*1.07,2)</f>
        <v>10288.629999999999</v>
      </c>
      <c r="E25" s="78">
        <f>ROUND(12093.86*1.07,2)</f>
        <v>12940.43</v>
      </c>
      <c r="F25" s="78">
        <f t="shared" si="0"/>
        <v>107621.65271966526</v>
      </c>
      <c r="G25" s="209">
        <f t="shared" si="1"/>
        <v>135360.14644351465</v>
      </c>
      <c r="H25" s="37"/>
    </row>
    <row r="26" spans="1:8" ht="15" customHeight="1" x14ac:dyDescent="0.2">
      <c r="A26" s="30"/>
      <c r="B26" s="207">
        <v>4.5999999999999996</v>
      </c>
      <c r="C26" s="98">
        <v>109.6</v>
      </c>
      <c r="D26" s="78">
        <f>ROUND(10598.74*1.07,2)</f>
        <v>11340.65</v>
      </c>
      <c r="E26" s="78">
        <f>ROUND(13330.47*1.07,2)</f>
        <v>14263.6</v>
      </c>
      <c r="F26" s="78">
        <f t="shared" si="0"/>
        <v>103473.08394160583</v>
      </c>
      <c r="G26" s="209">
        <f t="shared" si="1"/>
        <v>130142.33576642338</v>
      </c>
      <c r="H26" s="37"/>
    </row>
    <row r="27" spans="1:8" ht="15" customHeight="1" x14ac:dyDescent="0.2">
      <c r="A27" s="30"/>
      <c r="B27" s="207">
        <v>4.9000000000000004</v>
      </c>
      <c r="C27" s="98">
        <v>124.6</v>
      </c>
      <c r="D27" s="78">
        <f>ROUND(12042.95*1.07,2)</f>
        <v>12885.96</v>
      </c>
      <c r="E27" s="78">
        <f>ROUND(15146.96*1.07,2)</f>
        <v>16207.25</v>
      </c>
      <c r="F27" s="78">
        <f t="shared" si="0"/>
        <v>103418.61958266451</v>
      </c>
      <c r="G27" s="209">
        <f t="shared" si="1"/>
        <v>130074.23756019262</v>
      </c>
      <c r="H27" s="37"/>
    </row>
    <row r="28" spans="1:8" ht="15" customHeight="1" x14ac:dyDescent="0.2">
      <c r="A28" s="30"/>
      <c r="B28" s="207">
        <v>5.2</v>
      </c>
      <c r="C28" s="98">
        <v>140.5</v>
      </c>
      <c r="D28" s="78">
        <f>ROUND(13557.68*1.07,2)</f>
        <v>14506.72</v>
      </c>
      <c r="E28" s="78">
        <f>ROUND(17052.18*1.07,2)</f>
        <v>18245.830000000002</v>
      </c>
      <c r="F28" s="78">
        <f t="shared" si="0"/>
        <v>103250.67615658362</v>
      </c>
      <c r="G28" s="209">
        <f t="shared" si="1"/>
        <v>129863.55871886121</v>
      </c>
      <c r="H28" s="37"/>
    </row>
    <row r="29" spans="1:8" ht="15" customHeight="1" x14ac:dyDescent="0.2">
      <c r="A29" s="30"/>
      <c r="B29" s="207">
        <v>5.5</v>
      </c>
      <c r="C29" s="98">
        <v>157.5</v>
      </c>
      <c r="D29" s="78">
        <f>ROUND(15114.83*1.07,2)</f>
        <v>16172.87</v>
      </c>
      <c r="E29" s="78">
        <f>ROUND(19010.62*1.07,2)</f>
        <v>20341.36</v>
      </c>
      <c r="F29" s="78">
        <f t="shared" si="0"/>
        <v>102684.88888888889</v>
      </c>
      <c r="G29" s="209">
        <f t="shared" si="1"/>
        <v>129151.49206349207</v>
      </c>
      <c r="H29" s="37"/>
    </row>
    <row r="30" spans="1:8" ht="15" customHeight="1" x14ac:dyDescent="0.2">
      <c r="A30" s="30"/>
      <c r="B30" s="207">
        <v>6.2</v>
      </c>
      <c r="C30" s="98">
        <v>197</v>
      </c>
      <c r="D30" s="78">
        <f>ROUND(18778.31*1.07,2)</f>
        <v>20092.79</v>
      </c>
      <c r="E30" s="78">
        <f>ROUND(23617.13*1.07,2)</f>
        <v>25270.33</v>
      </c>
      <c r="F30" s="78">
        <f t="shared" si="0"/>
        <v>101993.85786802031</v>
      </c>
      <c r="G30" s="209">
        <f t="shared" si="1"/>
        <v>128275.78680203047</v>
      </c>
      <c r="H30" s="37"/>
    </row>
    <row r="31" spans="1:8" ht="15" customHeight="1" x14ac:dyDescent="0.2">
      <c r="A31" s="30"/>
      <c r="B31" s="207">
        <v>6.8</v>
      </c>
      <c r="C31" s="98">
        <v>238</v>
      </c>
      <c r="D31" s="78">
        <f>ROUND(22618.13*1.07,2)</f>
        <v>24201.4</v>
      </c>
      <c r="E31" s="78">
        <f>ROUND(28447.83*1.07,2)</f>
        <v>30439.18</v>
      </c>
      <c r="F31" s="78">
        <f t="shared" si="0"/>
        <v>101686.55462184874</v>
      </c>
      <c r="G31" s="209">
        <f t="shared" si="1"/>
        <v>127895.71428571429</v>
      </c>
      <c r="H31" s="37"/>
    </row>
    <row r="32" spans="1:8" ht="15" customHeight="1" x14ac:dyDescent="0.2">
      <c r="A32" s="30"/>
      <c r="B32" s="207">
        <v>7.4</v>
      </c>
      <c r="C32" s="98">
        <v>282.60000000000002</v>
      </c>
      <c r="D32" s="78">
        <f>ROUND(26621.45*1.07,2)</f>
        <v>28484.95</v>
      </c>
      <c r="E32" s="78">
        <f>ROUND(33483.06*1.07,2)</f>
        <v>35826.870000000003</v>
      </c>
      <c r="F32" s="78">
        <f t="shared" si="0"/>
        <v>100796.00141542817</v>
      </c>
      <c r="G32" s="209">
        <f t="shared" si="1"/>
        <v>126775.90233545649</v>
      </c>
      <c r="H32" s="37"/>
    </row>
    <row r="33" spans="1:8" ht="15" customHeight="1" x14ac:dyDescent="0.2">
      <c r="A33" s="30"/>
      <c r="B33" s="207">
        <v>8</v>
      </c>
      <c r="C33" s="98">
        <v>330.5</v>
      </c>
      <c r="D33" s="78">
        <f>ROUND(30996.43*1.07,2)</f>
        <v>33166.18</v>
      </c>
      <c r="E33" s="78">
        <f>ROUND(38985.67*1.07,2)</f>
        <v>41714.67</v>
      </c>
      <c r="F33" s="78">
        <f t="shared" si="0"/>
        <v>100351.52798789713</v>
      </c>
      <c r="G33" s="209">
        <f t="shared" si="1"/>
        <v>126216.8532526475</v>
      </c>
      <c r="H33" s="37"/>
    </row>
    <row r="34" spans="1:8" ht="15" customHeight="1" x14ac:dyDescent="0.2">
      <c r="A34" s="30"/>
      <c r="B34" s="207">
        <v>8.6</v>
      </c>
      <c r="C34" s="98">
        <v>382.1</v>
      </c>
      <c r="D34" s="78">
        <f>ROUND(35559.6*1.07,2)</f>
        <v>38048.769999999997</v>
      </c>
      <c r="E34" s="78">
        <f>ROUND(44724.93*1.07,2)</f>
        <v>47855.68</v>
      </c>
      <c r="F34" s="78">
        <f t="shared" si="0"/>
        <v>99578.042397278186</v>
      </c>
      <c r="G34" s="209">
        <f t="shared" si="1"/>
        <v>125243.86286312483</v>
      </c>
      <c r="H34" s="37"/>
    </row>
    <row r="35" spans="1:8" ht="15" customHeight="1" x14ac:dyDescent="0.2">
      <c r="A35" s="30"/>
      <c r="B35" s="207">
        <v>9.1999999999999993</v>
      </c>
      <c r="C35" s="98">
        <v>438.5</v>
      </c>
      <c r="D35" s="78">
        <f>ROUND(40673.1*1.07,2)</f>
        <v>43520.22</v>
      </c>
      <c r="E35" s="78">
        <f>ROUND(51172.61*1.07,2)</f>
        <v>54754.69</v>
      </c>
      <c r="F35" s="78">
        <f t="shared" si="0"/>
        <v>99247.936145952117</v>
      </c>
      <c r="G35" s="209">
        <f t="shared" si="1"/>
        <v>124868.16419612315</v>
      </c>
      <c r="H35" s="37"/>
    </row>
    <row r="36" spans="1:8" ht="15" customHeight="1" x14ac:dyDescent="0.2">
      <c r="A36" s="30"/>
      <c r="B36" s="207">
        <v>9.8000000000000007</v>
      </c>
      <c r="C36" s="98">
        <v>498.5</v>
      </c>
      <c r="D36" s="78">
        <f>ROUND(45664.31*1.07,2)</f>
        <v>48860.81</v>
      </c>
      <c r="E36" s="78">
        <f>ROUND(57434.13*1.07,2)</f>
        <v>61454.52</v>
      </c>
      <c r="F36" s="78">
        <f t="shared" si="0"/>
        <v>98015.667001003007</v>
      </c>
      <c r="G36" s="209">
        <f t="shared" si="1"/>
        <v>123278.87662988967</v>
      </c>
      <c r="H36" s="37"/>
    </row>
    <row r="37" spans="1:8" ht="15" customHeight="1" x14ac:dyDescent="0.2">
      <c r="A37" s="30"/>
      <c r="B37" s="207">
        <v>10.5</v>
      </c>
      <c r="C37" s="98">
        <v>562</v>
      </c>
      <c r="D37" s="78">
        <f>ROUND(51332.98*1.07,2)</f>
        <v>54926.29</v>
      </c>
      <c r="E37" s="78">
        <f>ROUND(64563.84*1.07,2)</f>
        <v>69083.31</v>
      </c>
      <c r="F37" s="78">
        <f t="shared" si="0"/>
        <v>97733.612099644131</v>
      </c>
      <c r="G37" s="209">
        <f t="shared" si="1"/>
        <v>122924.03914590747</v>
      </c>
      <c r="H37" s="37"/>
    </row>
    <row r="38" spans="1:8" ht="15" customHeight="1" x14ac:dyDescent="0.2">
      <c r="A38" s="30"/>
      <c r="B38" s="210">
        <v>11.5</v>
      </c>
      <c r="C38" s="142">
        <v>700.5</v>
      </c>
      <c r="D38" s="143">
        <f>ROUND(63907.49*1.07,2)</f>
        <v>68381.009999999995</v>
      </c>
      <c r="E38" s="143">
        <f>ROUND(80379.38*1.07,2)</f>
        <v>86005.94</v>
      </c>
      <c r="F38" s="143">
        <f t="shared" si="0"/>
        <v>97617.430406852232</v>
      </c>
      <c r="G38" s="211">
        <f t="shared" si="1"/>
        <v>122777.93004996431</v>
      </c>
      <c r="H38" s="38"/>
    </row>
  </sheetData>
  <mergeCells count="1">
    <mergeCell ref="F2:G3"/>
  </mergeCells>
  <phoneticPr fontId="0" type="noConversion"/>
  <hyperlinks>
    <hyperlink ref="H1" location="'2'!A1" display="Оглавление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&amp;A</oddHead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H75"/>
  <sheetViews>
    <sheetView showGridLines="0" showRowColHeaders="0" view="pageBreakPreview" zoomScaleNormal="75" zoomScaleSheetLayoutView="100" workbookViewId="0"/>
  </sheetViews>
  <sheetFormatPr defaultColWidth="8.85546875" defaultRowHeight="12.75" x14ac:dyDescent="0.2"/>
  <cols>
    <col min="1" max="1" width="9.7109375" style="8" customWidth="1"/>
    <col min="2" max="3" width="9.7109375" style="3" customWidth="1"/>
    <col min="4" max="5" width="12.7109375" style="3" customWidth="1"/>
    <col min="6" max="6" width="12.7109375" style="2" customWidth="1"/>
    <col min="7" max="7" width="12.7109375" style="3" customWidth="1"/>
    <col min="8" max="16384" width="8.85546875" style="3"/>
  </cols>
  <sheetData>
    <row r="1" spans="1:8" x14ac:dyDescent="0.2">
      <c r="G1" s="145">
        <v>43160</v>
      </c>
      <c r="H1" s="10" t="s">
        <v>114</v>
      </c>
    </row>
    <row r="2" spans="1:8" x14ac:dyDescent="0.2">
      <c r="B2" s="220" t="s">
        <v>12</v>
      </c>
      <c r="C2" s="221"/>
      <c r="D2" s="221"/>
      <c r="E2" s="222"/>
      <c r="F2" s="437" t="s">
        <v>9</v>
      </c>
      <c r="G2" s="437"/>
    </row>
    <row r="3" spans="1:8" x14ac:dyDescent="0.2">
      <c r="B3" s="223" t="s">
        <v>10</v>
      </c>
      <c r="C3" s="224"/>
      <c r="D3" s="224"/>
      <c r="E3" s="225"/>
      <c r="F3" s="437"/>
      <c r="G3" s="437"/>
    </row>
    <row r="4" spans="1:8" ht="24.95" customHeight="1" x14ac:dyDescent="0.2">
      <c r="B4" s="213"/>
      <c r="C4" s="213"/>
      <c r="D4" s="240" t="s">
        <v>147</v>
      </c>
      <c r="E4" s="212"/>
      <c r="F4" s="240" t="s">
        <v>124</v>
      </c>
      <c r="G4" s="212"/>
    </row>
    <row r="5" spans="1:8" x14ac:dyDescent="0.2">
      <c r="A5" s="26"/>
      <c r="B5" s="228" t="s">
        <v>196</v>
      </c>
      <c r="C5" s="219" t="s">
        <v>195</v>
      </c>
      <c r="D5" s="214" t="s">
        <v>191</v>
      </c>
      <c r="E5" s="215" t="s">
        <v>192</v>
      </c>
      <c r="F5" s="214" t="s">
        <v>193</v>
      </c>
      <c r="G5" s="232" t="s">
        <v>194</v>
      </c>
    </row>
    <row r="6" spans="1:8" x14ac:dyDescent="0.2">
      <c r="A6" s="26"/>
      <c r="B6" s="229">
        <v>1</v>
      </c>
      <c r="C6" s="91">
        <v>5.2</v>
      </c>
      <c r="D6" s="96">
        <f>ROUND(3546.47*1.07,2)</f>
        <v>3794.72</v>
      </c>
      <c r="E6" s="96">
        <f>ROUND(4213.16*1.07,2)</f>
        <v>4508.08</v>
      </c>
      <c r="F6" s="92">
        <f t="shared" ref="F6:F38" si="0">D6/C6*1000</f>
        <v>729753.84615384613</v>
      </c>
      <c r="G6" s="233">
        <f t="shared" ref="G6:G38" si="1">E6/C6*1000</f>
        <v>866938.4615384615</v>
      </c>
    </row>
    <row r="7" spans="1:8" x14ac:dyDescent="0.2">
      <c r="A7" s="30"/>
      <c r="B7" s="229">
        <v>1.1000000000000001</v>
      </c>
      <c r="C7" s="91">
        <v>6.3</v>
      </c>
      <c r="D7" s="96">
        <f>ROUND(3898.44*1.07,2)</f>
        <v>4171.33</v>
      </c>
      <c r="E7" s="96">
        <f>ROUND(4631.33*1.07,2)</f>
        <v>4955.5200000000004</v>
      </c>
      <c r="F7" s="92">
        <f t="shared" si="0"/>
        <v>662115.87301587302</v>
      </c>
      <c r="G7" s="233">
        <f t="shared" si="1"/>
        <v>786590.47619047621</v>
      </c>
    </row>
    <row r="8" spans="1:8" x14ac:dyDescent="0.2">
      <c r="A8" s="30"/>
      <c r="B8" s="229">
        <v>1.2</v>
      </c>
      <c r="C8" s="91">
        <v>7.5</v>
      </c>
      <c r="D8" s="96">
        <f>ROUND(4033.79*1.07,2)</f>
        <v>4316.16</v>
      </c>
      <c r="E8" s="96">
        <f>ROUND(4792.12*1.07,2)</f>
        <v>5127.57</v>
      </c>
      <c r="F8" s="92">
        <f t="shared" si="0"/>
        <v>575488</v>
      </c>
      <c r="G8" s="233">
        <f t="shared" si="1"/>
        <v>683675.99999999988</v>
      </c>
    </row>
    <row r="9" spans="1:8" x14ac:dyDescent="0.2">
      <c r="A9" s="30"/>
      <c r="B9" s="229">
        <v>1.3</v>
      </c>
      <c r="C9" s="91">
        <v>8.8000000000000007</v>
      </c>
      <c r="D9" s="96">
        <f>ROUND(4196.21*1.07,2)</f>
        <v>4489.9399999999996</v>
      </c>
      <c r="E9" s="96">
        <f>ROUND(4985.12*1.07,2)</f>
        <v>5334.08</v>
      </c>
      <c r="F9" s="92">
        <f t="shared" si="0"/>
        <v>510220.45454545447</v>
      </c>
      <c r="G9" s="233">
        <f t="shared" si="1"/>
        <v>606145.45454545447</v>
      </c>
    </row>
    <row r="10" spans="1:8" x14ac:dyDescent="0.2">
      <c r="A10" s="30"/>
      <c r="B10" s="229">
        <v>1.4</v>
      </c>
      <c r="C10" s="91">
        <v>10.1</v>
      </c>
      <c r="D10" s="96">
        <f>ROUND(4304.48*1.07,2)</f>
        <v>4605.79</v>
      </c>
      <c r="E10" s="96">
        <f>ROUND(5113.74*1.07,2)</f>
        <v>5471.7</v>
      </c>
      <c r="F10" s="92">
        <f t="shared" si="0"/>
        <v>456018.81188118813</v>
      </c>
      <c r="G10" s="233">
        <f t="shared" si="1"/>
        <v>541752.4752475248</v>
      </c>
    </row>
    <row r="11" spans="1:8" x14ac:dyDescent="0.2">
      <c r="A11" s="30"/>
      <c r="B11" s="230">
        <v>1.5</v>
      </c>
      <c r="C11" s="93">
        <v>11.6</v>
      </c>
      <c r="D11" s="96">
        <f>ROUND(4842.73*1.07,2)</f>
        <v>5181.72</v>
      </c>
      <c r="E11" s="96">
        <f>ROUND(5753.11*1.07,2)</f>
        <v>6155.83</v>
      </c>
      <c r="F11" s="92">
        <f t="shared" si="0"/>
        <v>446700.00000000006</v>
      </c>
      <c r="G11" s="233">
        <f t="shared" si="1"/>
        <v>530675</v>
      </c>
    </row>
    <row r="12" spans="1:8" x14ac:dyDescent="0.2">
      <c r="A12" s="30"/>
      <c r="B12" s="230">
        <v>1.7</v>
      </c>
      <c r="C12" s="93">
        <v>14.9</v>
      </c>
      <c r="D12" s="96"/>
      <c r="E12" s="92">
        <f>ROUND(6032.64*1.07,2)</f>
        <v>6454.92</v>
      </c>
      <c r="F12" s="92"/>
      <c r="G12" s="233">
        <f t="shared" si="1"/>
        <v>433216.10738255031</v>
      </c>
    </row>
    <row r="13" spans="1:8" x14ac:dyDescent="0.2">
      <c r="A13" s="30"/>
      <c r="B13" s="230">
        <v>1.8</v>
      </c>
      <c r="C13" s="93">
        <v>16.600000000000001</v>
      </c>
      <c r="D13" s="96">
        <f>ROUND(5362.54*1.07,2)</f>
        <v>5737.92</v>
      </c>
      <c r="E13" s="96">
        <f>ROUND(6753*1.07,2)</f>
        <v>7225.71</v>
      </c>
      <c r="F13" s="92">
        <f t="shared" si="0"/>
        <v>345657.8313253012</v>
      </c>
      <c r="G13" s="233">
        <f t="shared" si="1"/>
        <v>435283.73493975902</v>
      </c>
    </row>
    <row r="14" spans="1:8" x14ac:dyDescent="0.2">
      <c r="A14" s="30"/>
      <c r="B14" s="230">
        <v>2</v>
      </c>
      <c r="C14" s="93">
        <v>20.8</v>
      </c>
      <c r="D14" s="96">
        <f>ROUND(5653.62*1.07,2)</f>
        <v>6049.37</v>
      </c>
      <c r="E14" s="96">
        <f>ROUND(7119.42*1.07,2)</f>
        <v>7617.78</v>
      </c>
      <c r="F14" s="92">
        <f t="shared" si="0"/>
        <v>290835.09615384619</v>
      </c>
      <c r="G14" s="233">
        <f t="shared" si="1"/>
        <v>366239.42307692306</v>
      </c>
    </row>
    <row r="15" spans="1:8" x14ac:dyDescent="0.2">
      <c r="A15" s="30"/>
      <c r="B15" s="230">
        <v>2.6</v>
      </c>
      <c r="C15" s="93">
        <v>32.299999999999997</v>
      </c>
      <c r="D15" s="96">
        <f>ROUND(7067.29*1.07,2)</f>
        <v>7562</v>
      </c>
      <c r="E15" s="96">
        <f>ROUND(8899.71*1.07,2)</f>
        <v>9522.69</v>
      </c>
      <c r="F15" s="92">
        <f t="shared" si="0"/>
        <v>234117.64705882352</v>
      </c>
      <c r="G15" s="233">
        <f t="shared" si="1"/>
        <v>294820.12383900932</v>
      </c>
    </row>
    <row r="16" spans="1:8" x14ac:dyDescent="0.2">
      <c r="A16" s="30"/>
      <c r="B16" s="230">
        <v>3</v>
      </c>
      <c r="C16" s="93">
        <v>46.5</v>
      </c>
      <c r="D16" s="96">
        <f>ROUND(7755.82*1.07,2)</f>
        <v>8298.73</v>
      </c>
      <c r="E16" s="96">
        <f>ROUND(9766.26*1.07,2)</f>
        <v>10449.9</v>
      </c>
      <c r="F16" s="92">
        <f t="shared" si="0"/>
        <v>178467.31182795699</v>
      </c>
      <c r="G16" s="233">
        <f t="shared" si="1"/>
        <v>224729.03225806452</v>
      </c>
    </row>
    <row r="17" spans="1:7" x14ac:dyDescent="0.2">
      <c r="A17" s="30"/>
      <c r="B17" s="230">
        <v>3.3</v>
      </c>
      <c r="C17" s="93">
        <v>54.6</v>
      </c>
      <c r="D17" s="96">
        <f>ROUND(8006.6*1.07,2)</f>
        <v>8567.06</v>
      </c>
      <c r="E17" s="96">
        <f>ROUND(10082.45*1.07,2)</f>
        <v>10788.22</v>
      </c>
      <c r="F17" s="92">
        <f t="shared" si="0"/>
        <v>156905.86080586078</v>
      </c>
      <c r="G17" s="233">
        <f t="shared" si="1"/>
        <v>197586.44688644688</v>
      </c>
    </row>
    <row r="18" spans="1:7" x14ac:dyDescent="0.2">
      <c r="A18" s="30"/>
      <c r="B18" s="230">
        <v>3.6</v>
      </c>
      <c r="C18" s="93">
        <v>63.2</v>
      </c>
      <c r="D18" s="96">
        <f>ROUND(8995.03*1.07,2)</f>
        <v>9624.68</v>
      </c>
      <c r="E18" s="96">
        <f>ROUND(11327.27*1.07,2)</f>
        <v>12120.18</v>
      </c>
      <c r="F18" s="92">
        <f t="shared" si="0"/>
        <v>152289.24050632911</v>
      </c>
      <c r="G18" s="233">
        <f t="shared" si="1"/>
        <v>191775</v>
      </c>
    </row>
    <row r="19" spans="1:7" x14ac:dyDescent="0.2">
      <c r="A19" s="30"/>
      <c r="B19" s="230">
        <v>4</v>
      </c>
      <c r="C19" s="93">
        <v>82.5</v>
      </c>
      <c r="D19" s="96">
        <f>ROUND(10545.96*1.07,2)</f>
        <v>11284.18</v>
      </c>
      <c r="E19" s="96">
        <f>ROUND(13280.23*1.07,2)</f>
        <v>14209.85</v>
      </c>
      <c r="F19" s="92">
        <f t="shared" si="0"/>
        <v>136777.93939393939</v>
      </c>
      <c r="G19" s="233">
        <f t="shared" si="1"/>
        <v>172240.60606060608</v>
      </c>
    </row>
    <row r="20" spans="1:7" x14ac:dyDescent="0.2">
      <c r="A20" s="30"/>
      <c r="B20" s="230">
        <v>4.5999999999999996</v>
      </c>
      <c r="C20" s="93">
        <v>104.5</v>
      </c>
      <c r="D20" s="96">
        <f>ROUND(13193.11*1.07,2)</f>
        <v>14116.63</v>
      </c>
      <c r="E20" s="96">
        <f>ROUND(16612.95*1.07,2)</f>
        <v>17775.86</v>
      </c>
      <c r="F20" s="92">
        <f t="shared" si="0"/>
        <v>135087.36842105261</v>
      </c>
      <c r="G20" s="233">
        <f t="shared" si="1"/>
        <v>170103.9234449761</v>
      </c>
    </row>
    <row r="21" spans="1:7" x14ac:dyDescent="0.2">
      <c r="A21" s="30"/>
      <c r="B21" s="230">
        <v>5</v>
      </c>
      <c r="C21" s="93">
        <v>129.80000000000001</v>
      </c>
      <c r="D21" s="96">
        <f>ROUND(16284*1.07,2)</f>
        <v>17423.88</v>
      </c>
      <c r="E21" s="96">
        <f>ROUND(20506.8*1.07,2)</f>
        <v>21942.28</v>
      </c>
      <c r="F21" s="92">
        <f t="shared" si="0"/>
        <v>134236.36363636362</v>
      </c>
      <c r="G21" s="233">
        <f t="shared" si="1"/>
        <v>169046.84129429891</v>
      </c>
    </row>
    <row r="22" spans="1:7" x14ac:dyDescent="0.2">
      <c r="A22" s="30"/>
      <c r="B22" s="230">
        <v>5.6</v>
      </c>
      <c r="C22" s="93">
        <v>156.9</v>
      </c>
      <c r="D22" s="96">
        <f>ROUND(18416.12*1.07,2)</f>
        <v>19705.25</v>
      </c>
      <c r="E22" s="96">
        <f>ROUND(23191.06*1.07,2)</f>
        <v>24814.43</v>
      </c>
      <c r="F22" s="92">
        <f t="shared" si="0"/>
        <v>125591.14085404716</v>
      </c>
      <c r="G22" s="233">
        <f t="shared" si="1"/>
        <v>158154.42957297643</v>
      </c>
    </row>
    <row r="23" spans="1:7" x14ac:dyDescent="0.2">
      <c r="A23" s="30"/>
      <c r="B23" s="230">
        <v>6.1</v>
      </c>
      <c r="C23" s="93">
        <v>186</v>
      </c>
      <c r="D23" s="96">
        <f>ROUND(20943.28*1.07,2)</f>
        <v>22409.31</v>
      </c>
      <c r="E23" s="96">
        <f>ROUND(25605.24*1.07,2)</f>
        <v>27397.61</v>
      </c>
      <c r="F23" s="92">
        <f t="shared" si="0"/>
        <v>120480.16129032259</v>
      </c>
      <c r="G23" s="233">
        <f t="shared" si="1"/>
        <v>147298.97849462368</v>
      </c>
    </row>
    <row r="24" spans="1:7" x14ac:dyDescent="0.2">
      <c r="A24" s="30"/>
      <c r="B24" s="230">
        <v>6.6</v>
      </c>
      <c r="C24" s="93">
        <v>218.5</v>
      </c>
      <c r="D24" s="96">
        <f>ROUND(22894.49*1.07,2)</f>
        <v>24497.1</v>
      </c>
      <c r="E24" s="96">
        <f>ROUND(27990.7*1.07,2)</f>
        <v>29950.05</v>
      </c>
      <c r="F24" s="92">
        <f t="shared" si="0"/>
        <v>112114.87414187643</v>
      </c>
      <c r="G24" s="233">
        <f t="shared" si="1"/>
        <v>137071.16704805492</v>
      </c>
    </row>
    <row r="25" spans="1:7" x14ac:dyDescent="0.2">
      <c r="A25" s="30"/>
      <c r="B25" s="230">
        <v>7.1</v>
      </c>
      <c r="C25" s="93">
        <v>253</v>
      </c>
      <c r="D25" s="96">
        <f>ROUND(26287.3*1.07,2)</f>
        <v>28127.41</v>
      </c>
      <c r="E25" s="96">
        <f>ROUND(32138.89*1.07,2)</f>
        <v>34388.61</v>
      </c>
      <c r="F25" s="92">
        <f t="shared" si="0"/>
        <v>111175.53359683794</v>
      </c>
      <c r="G25" s="233">
        <f t="shared" si="1"/>
        <v>135923.35968379446</v>
      </c>
    </row>
    <row r="26" spans="1:7" x14ac:dyDescent="0.2">
      <c r="A26" s="30"/>
      <c r="B26" s="230">
        <v>7.6</v>
      </c>
      <c r="C26" s="93">
        <v>290.5</v>
      </c>
      <c r="D26" s="96">
        <f>ROUND(29520.22*1.07,2)</f>
        <v>31586.639999999999</v>
      </c>
      <c r="E26" s="96">
        <f>ROUND(36091.38*1.07,2)</f>
        <v>38617.78</v>
      </c>
      <c r="F26" s="92">
        <f t="shared" si="0"/>
        <v>108731.97934595525</v>
      </c>
      <c r="G26" s="233">
        <f t="shared" si="1"/>
        <v>132935.55938037866</v>
      </c>
    </row>
    <row r="27" spans="1:7" x14ac:dyDescent="0.2">
      <c r="A27" s="30"/>
      <c r="B27" s="230">
        <v>8.1</v>
      </c>
      <c r="C27" s="93">
        <v>330</v>
      </c>
      <c r="D27" s="96">
        <f>ROUND(32849.33*1.07,2)</f>
        <v>35148.78</v>
      </c>
      <c r="E27" s="96">
        <f>ROUND(40161.51*1.07,2)</f>
        <v>42972.82</v>
      </c>
      <c r="F27" s="92">
        <f t="shared" si="0"/>
        <v>106511.45454545454</v>
      </c>
      <c r="G27" s="233">
        <f t="shared" si="1"/>
        <v>130220.66666666666</v>
      </c>
    </row>
    <row r="28" spans="1:7" x14ac:dyDescent="0.2">
      <c r="A28" s="30"/>
      <c r="B28" s="230">
        <v>8.6</v>
      </c>
      <c r="C28" s="93">
        <v>372.6</v>
      </c>
      <c r="D28" s="96">
        <f>ROUND(36556.48*1.07,2)</f>
        <v>39115.43</v>
      </c>
      <c r="E28" s="96">
        <f>ROUND(44693.93*1.07,2)</f>
        <v>47822.51</v>
      </c>
      <c r="F28" s="92">
        <f t="shared" si="0"/>
        <v>104979.68330649489</v>
      </c>
      <c r="G28" s="233">
        <f t="shared" si="1"/>
        <v>128348.12130971551</v>
      </c>
    </row>
    <row r="29" spans="1:7" x14ac:dyDescent="0.2">
      <c r="A29" s="30"/>
      <c r="B29" s="230">
        <v>9.1</v>
      </c>
      <c r="C29" s="93">
        <v>417.5</v>
      </c>
      <c r="D29" s="96">
        <f>ROUND(37308.14*1.07,2)</f>
        <v>39919.71</v>
      </c>
      <c r="E29" s="96">
        <f>ROUND(47866.22*1.07,2)</f>
        <v>51216.86</v>
      </c>
      <c r="F29" s="92">
        <f t="shared" si="0"/>
        <v>95616.071856287424</v>
      </c>
      <c r="G29" s="233">
        <f t="shared" si="1"/>
        <v>122675.11377245509</v>
      </c>
    </row>
    <row r="30" spans="1:7" x14ac:dyDescent="0.2">
      <c r="A30" s="30"/>
      <c r="B30" s="230">
        <v>10</v>
      </c>
      <c r="C30" s="93">
        <v>519</v>
      </c>
      <c r="D30" s="96">
        <f>ROUND(45803.78*1.07,2)</f>
        <v>49010.04</v>
      </c>
      <c r="E30" s="96">
        <f>ROUND(58766.04*1.07,2)</f>
        <v>62879.66</v>
      </c>
      <c r="F30" s="92">
        <f t="shared" si="0"/>
        <v>94431.676300578038</v>
      </c>
      <c r="G30" s="233">
        <f t="shared" si="1"/>
        <v>121155.41425818883</v>
      </c>
    </row>
    <row r="31" spans="1:7" x14ac:dyDescent="0.2">
      <c r="A31" s="30"/>
      <c r="B31" s="230">
        <v>11</v>
      </c>
      <c r="C31" s="93">
        <v>627.4</v>
      </c>
      <c r="D31" s="96">
        <f>ROUND(54812.86*1.07,2)</f>
        <v>58649.760000000002</v>
      </c>
      <c r="E31" s="96">
        <f>ROUND(70324.7*1.07,2)</f>
        <v>75247.429999999993</v>
      </c>
      <c r="F31" s="92">
        <f t="shared" si="0"/>
        <v>93480.650302837108</v>
      </c>
      <c r="G31" s="233">
        <f t="shared" si="1"/>
        <v>119935.33630857506</v>
      </c>
    </row>
    <row r="32" spans="1:7" x14ac:dyDescent="0.2">
      <c r="A32" s="30"/>
      <c r="B32" s="230">
        <v>12</v>
      </c>
      <c r="C32" s="93">
        <v>746</v>
      </c>
      <c r="D32" s="96">
        <f>ROUND(65271.25*1.07,2)</f>
        <v>69840.240000000005</v>
      </c>
      <c r="E32" s="96">
        <f>ROUND(83742.77*1.07,2)</f>
        <v>89604.76</v>
      </c>
      <c r="F32" s="92">
        <f t="shared" si="0"/>
        <v>93619.62466487936</v>
      </c>
      <c r="G32" s="233">
        <f t="shared" si="1"/>
        <v>120113.61930294907</v>
      </c>
    </row>
    <row r="33" spans="1:7" x14ac:dyDescent="0.2">
      <c r="A33" s="30"/>
      <c r="B33" s="230">
        <v>13</v>
      </c>
      <c r="C33" s="93">
        <v>873</v>
      </c>
      <c r="D33" s="96">
        <f>ROUND(75698.16*1.07,2)</f>
        <v>80997.03</v>
      </c>
      <c r="E33" s="96">
        <f>ROUND(97120.42*1.07,2)</f>
        <v>103918.85</v>
      </c>
      <c r="F33" s="92">
        <f t="shared" si="0"/>
        <v>92780.103092783509</v>
      </c>
      <c r="G33" s="233">
        <f t="shared" si="1"/>
        <v>119036.4833906071</v>
      </c>
    </row>
    <row r="34" spans="1:7" x14ac:dyDescent="0.2">
      <c r="A34" s="30"/>
      <c r="B34" s="230">
        <v>14</v>
      </c>
      <c r="C34" s="93">
        <v>1050</v>
      </c>
      <c r="D34" s="96">
        <f>ROUND(90385.44*1.07,2)</f>
        <v>96712.42</v>
      </c>
      <c r="E34" s="96">
        <f>ROUND(115964.12*1.07,2)</f>
        <v>124081.61</v>
      </c>
      <c r="F34" s="92">
        <f t="shared" si="0"/>
        <v>92107.066666666666</v>
      </c>
      <c r="G34" s="233">
        <f t="shared" si="1"/>
        <v>118172.96190476191</v>
      </c>
    </row>
    <row r="35" spans="1:7" x14ac:dyDescent="0.2">
      <c r="A35" s="26"/>
      <c r="B35" s="230">
        <v>15</v>
      </c>
      <c r="C35" s="93">
        <v>1160</v>
      </c>
      <c r="D35" s="96">
        <f>ROUND(99652.52*1.07,2)</f>
        <v>106628.2</v>
      </c>
      <c r="E35" s="96">
        <f>ROUND(127853.77*1.07,2)</f>
        <v>136803.53</v>
      </c>
      <c r="F35" s="92">
        <f t="shared" si="0"/>
        <v>91920.862068965522</v>
      </c>
      <c r="G35" s="233">
        <f t="shared" si="1"/>
        <v>117934.0775862069</v>
      </c>
    </row>
    <row r="36" spans="1:7" x14ac:dyDescent="0.2">
      <c r="A36" s="30"/>
      <c r="B36" s="231">
        <v>16</v>
      </c>
      <c r="C36" s="93">
        <v>1320</v>
      </c>
      <c r="D36" s="96">
        <f>ROUND(112814.58*1.07,2)</f>
        <v>120711.6</v>
      </c>
      <c r="E36" s="96">
        <f>ROUND(144795.1*1.07,2)</f>
        <v>154930.76</v>
      </c>
      <c r="F36" s="92">
        <f t="shared" si="0"/>
        <v>91448.181818181823</v>
      </c>
      <c r="G36" s="233">
        <f t="shared" si="1"/>
        <v>117371.78787878789</v>
      </c>
    </row>
    <row r="37" spans="1:7" x14ac:dyDescent="0.2">
      <c r="A37" s="30"/>
      <c r="B37" s="231">
        <v>17</v>
      </c>
      <c r="C37" s="93">
        <v>1490</v>
      </c>
      <c r="D37" s="96">
        <f>ROUND(127121.61*1.07,2)</f>
        <v>136020.12</v>
      </c>
      <c r="E37" s="96">
        <f>ROUND(163096.52*1.07,2)</f>
        <v>174513.28</v>
      </c>
      <c r="F37" s="92">
        <f t="shared" si="0"/>
        <v>91288.671140939594</v>
      </c>
      <c r="G37" s="233">
        <f t="shared" si="1"/>
        <v>117123.00671140938</v>
      </c>
    </row>
    <row r="38" spans="1:7" x14ac:dyDescent="0.2">
      <c r="A38" s="30"/>
      <c r="B38" s="234">
        <v>19</v>
      </c>
      <c r="C38" s="235">
        <v>1855</v>
      </c>
      <c r="D38" s="405">
        <f>ROUND(157865.93*1.07,2)</f>
        <v>168916.55</v>
      </c>
      <c r="E38" s="405">
        <f>ROUND(202541.32*1.07,2)</f>
        <v>216719.21</v>
      </c>
      <c r="F38" s="236">
        <f t="shared" si="0"/>
        <v>91060.134770889475</v>
      </c>
      <c r="G38" s="237">
        <f t="shared" si="1"/>
        <v>116829.76280323449</v>
      </c>
    </row>
    <row r="39" spans="1:7" x14ac:dyDescent="0.2">
      <c r="A39" s="30"/>
      <c r="B39" s="6"/>
      <c r="C39" s="6"/>
      <c r="D39" s="7"/>
      <c r="E39" s="7"/>
      <c r="F39" s="8"/>
    </row>
    <row r="40" spans="1:7" x14ac:dyDescent="0.2">
      <c r="A40" s="30"/>
      <c r="G40" s="145">
        <v>43241</v>
      </c>
    </row>
    <row r="41" spans="1:7" x14ac:dyDescent="0.2">
      <c r="A41" s="30"/>
      <c r="B41" s="261" t="s">
        <v>12</v>
      </c>
      <c r="C41" s="262"/>
      <c r="D41" s="262"/>
      <c r="E41" s="263"/>
      <c r="F41" s="436" t="s">
        <v>11</v>
      </c>
      <c r="G41" s="436"/>
    </row>
    <row r="42" spans="1:7" x14ac:dyDescent="0.2">
      <c r="A42" s="30"/>
      <c r="B42" s="226" t="s">
        <v>13</v>
      </c>
      <c r="C42" s="224"/>
      <c r="D42" s="224"/>
      <c r="E42" s="227"/>
      <c r="F42" s="436"/>
      <c r="G42" s="436"/>
    </row>
    <row r="43" spans="1:7" ht="24.95" customHeight="1" x14ac:dyDescent="0.2">
      <c r="A43" s="30"/>
      <c r="B43" s="213"/>
      <c r="C43" s="213"/>
      <c r="D43" s="240" t="s">
        <v>147</v>
      </c>
      <c r="E43" s="212"/>
      <c r="F43" s="240" t="s">
        <v>124</v>
      </c>
      <c r="G43" s="241"/>
    </row>
    <row r="44" spans="1:7" x14ac:dyDescent="0.2">
      <c r="A44" s="26"/>
      <c r="B44" s="137" t="s">
        <v>196</v>
      </c>
      <c r="C44" s="138" t="s">
        <v>195</v>
      </c>
      <c r="D44" s="216" t="s">
        <v>191</v>
      </c>
      <c r="E44" s="217" t="s">
        <v>192</v>
      </c>
      <c r="F44" s="218" t="s">
        <v>193</v>
      </c>
      <c r="G44" s="239" t="s">
        <v>194</v>
      </c>
    </row>
    <row r="45" spans="1:7" x14ac:dyDescent="0.2">
      <c r="A45" s="26"/>
      <c r="B45" s="238">
        <v>1.8</v>
      </c>
      <c r="C45" s="53">
        <v>16.8</v>
      </c>
      <c r="D45" s="51">
        <f>ROUND(8158.05*1.03,2)</f>
        <v>8402.7900000000009</v>
      </c>
      <c r="E45" s="51">
        <f>ROUND(10089.57*1.03,2)</f>
        <v>10392.26</v>
      </c>
      <c r="F45" s="51">
        <f t="shared" ref="F45:F74" si="2">D45/C45*1000</f>
        <v>500166.07142857148</v>
      </c>
      <c r="G45" s="125">
        <f t="shared" ref="G45:G74" si="3">E45/C45*1000</f>
        <v>618586.90476190473</v>
      </c>
    </row>
    <row r="46" spans="1:7" x14ac:dyDescent="0.2">
      <c r="A46" s="30"/>
      <c r="B46" s="238">
        <v>2</v>
      </c>
      <c r="C46" s="53">
        <v>19.5</v>
      </c>
      <c r="D46" s="51">
        <f>ROUND(8188.43*1.03,2)</f>
        <v>8434.08</v>
      </c>
      <c r="E46" s="51">
        <f>ROUND(10314.58*1.03,2)</f>
        <v>10624.02</v>
      </c>
      <c r="F46" s="51">
        <f t="shared" si="2"/>
        <v>432516.92307692306</v>
      </c>
      <c r="G46" s="125">
        <f t="shared" si="3"/>
        <v>544821.5384615385</v>
      </c>
    </row>
    <row r="47" spans="1:7" x14ac:dyDescent="0.2">
      <c r="A47" s="30"/>
      <c r="B47" s="238">
        <v>2.1</v>
      </c>
      <c r="C47" s="53">
        <v>22.3</v>
      </c>
      <c r="D47" s="51">
        <f>ROUND(8214.24*1.03,2)</f>
        <v>8460.67</v>
      </c>
      <c r="E47" s="51">
        <f>ROUND(10443.82*1.03,2)</f>
        <v>10757.13</v>
      </c>
      <c r="F47" s="51">
        <f t="shared" si="2"/>
        <v>379402.24215246638</v>
      </c>
      <c r="G47" s="125">
        <f t="shared" si="3"/>
        <v>482382.51121076231</v>
      </c>
    </row>
    <row r="48" spans="1:7" x14ac:dyDescent="0.2">
      <c r="A48" s="30"/>
      <c r="B48" s="238">
        <v>2.4</v>
      </c>
      <c r="C48" s="53">
        <v>28.7</v>
      </c>
      <c r="D48" s="51">
        <f>ROUND(8416.33*1.03,2)</f>
        <v>8668.82</v>
      </c>
      <c r="E48" s="51">
        <f>ROUND(10904.61*1.03,2)</f>
        <v>11231.75</v>
      </c>
      <c r="F48" s="51">
        <f t="shared" si="2"/>
        <v>302049.47735191637</v>
      </c>
      <c r="G48" s="125">
        <f t="shared" si="3"/>
        <v>391350.1742160279</v>
      </c>
    </row>
    <row r="49" spans="1:7" x14ac:dyDescent="0.2">
      <c r="A49" s="30"/>
      <c r="B49" s="238">
        <v>2.7</v>
      </c>
      <c r="C49" s="53">
        <v>35.9</v>
      </c>
      <c r="D49" s="51">
        <f>ROUND(9049.72*1.03,2)</f>
        <v>9321.2099999999991</v>
      </c>
      <c r="E49" s="51">
        <f>ROUND(12311.49*1.03,2)</f>
        <v>12680.83</v>
      </c>
      <c r="F49" s="51">
        <f t="shared" si="2"/>
        <v>259643.73259052922</v>
      </c>
      <c r="G49" s="125">
        <f t="shared" si="3"/>
        <v>353226.46239554317</v>
      </c>
    </row>
    <row r="50" spans="1:7" x14ac:dyDescent="0.2">
      <c r="A50" s="30"/>
      <c r="B50" s="124">
        <v>2.8</v>
      </c>
      <c r="C50" s="50">
        <v>39.9</v>
      </c>
      <c r="D50" s="51">
        <f>ROUND(9683.06*1.03,2)</f>
        <v>9973.5499999999993</v>
      </c>
      <c r="E50" s="51">
        <f>ROUND(13173.14*1.03,2)</f>
        <v>13568.33</v>
      </c>
      <c r="F50" s="51">
        <f t="shared" si="2"/>
        <v>249963.65914786965</v>
      </c>
      <c r="G50" s="125">
        <f t="shared" si="3"/>
        <v>340058.39598997496</v>
      </c>
    </row>
    <row r="51" spans="1:7" x14ac:dyDescent="0.2">
      <c r="A51" s="30"/>
      <c r="B51" s="124">
        <v>3.6</v>
      </c>
      <c r="C51" s="50">
        <v>62.4</v>
      </c>
      <c r="D51" s="51">
        <f>ROUND(11824.42*1.03,2)</f>
        <v>12179.15</v>
      </c>
      <c r="E51" s="51">
        <f>ROUND(16086.4*1.03,2)</f>
        <v>16568.990000000002</v>
      </c>
      <c r="F51" s="51">
        <f t="shared" si="2"/>
        <v>195178.68589743588</v>
      </c>
      <c r="G51" s="125">
        <f t="shared" si="3"/>
        <v>265528.68589743593</v>
      </c>
    </row>
    <row r="52" spans="1:7" x14ac:dyDescent="0.2">
      <c r="A52" s="30"/>
      <c r="B52" s="124">
        <v>4.2</v>
      </c>
      <c r="C52" s="50">
        <v>89.6</v>
      </c>
      <c r="D52" s="51">
        <f>ROUND(14687.36*1.03,2)</f>
        <v>15127.98</v>
      </c>
      <c r="E52" s="51">
        <f>ROUND(19981.05*1.03,2)</f>
        <v>20580.48</v>
      </c>
      <c r="F52" s="51">
        <f t="shared" si="2"/>
        <v>168839.0625</v>
      </c>
      <c r="G52" s="125">
        <f t="shared" si="3"/>
        <v>229692.85714285716</v>
      </c>
    </row>
    <row r="53" spans="1:7" x14ac:dyDescent="0.2">
      <c r="A53" s="30"/>
      <c r="B53" s="124">
        <v>4.5999999999999996</v>
      </c>
      <c r="C53" s="50">
        <v>105.5</v>
      </c>
      <c r="D53" s="51">
        <f>ROUND(16270.51*1.03,2)</f>
        <v>16758.63</v>
      </c>
      <c r="E53" s="51">
        <f>ROUND(22134.85*1.03,2)</f>
        <v>22798.9</v>
      </c>
      <c r="F53" s="51">
        <f t="shared" si="2"/>
        <v>158849.57345971567</v>
      </c>
      <c r="G53" s="125">
        <f t="shared" si="3"/>
        <v>216103.31753554504</v>
      </c>
    </row>
    <row r="54" spans="1:7" x14ac:dyDescent="0.2">
      <c r="A54" s="30"/>
      <c r="B54" s="124">
        <v>5</v>
      </c>
      <c r="C54" s="50">
        <v>122</v>
      </c>
      <c r="D54" s="51">
        <f>ROUND(17880.46*1.03,2)</f>
        <v>18416.87</v>
      </c>
      <c r="E54" s="51">
        <f>ROUND(24325.03*1.03,2)</f>
        <v>25054.78</v>
      </c>
      <c r="F54" s="51">
        <f t="shared" si="2"/>
        <v>150957.95081967214</v>
      </c>
      <c r="G54" s="125">
        <f t="shared" si="3"/>
        <v>205367.04918032786</v>
      </c>
    </row>
    <row r="55" spans="1:7" x14ac:dyDescent="0.2">
      <c r="A55" s="30"/>
      <c r="B55" s="124">
        <v>5.6</v>
      </c>
      <c r="C55" s="50">
        <v>159.5</v>
      </c>
      <c r="D55" s="51">
        <f>ROUND(20233.87*1.03,2)</f>
        <v>20840.89</v>
      </c>
      <c r="E55" s="51">
        <f>ROUND(26725.05*1.03,2)</f>
        <v>27526.799999999999</v>
      </c>
      <c r="F55" s="51">
        <f t="shared" si="2"/>
        <v>130663.88714733542</v>
      </c>
      <c r="G55" s="125">
        <f t="shared" si="3"/>
        <v>172581.81818181818</v>
      </c>
    </row>
    <row r="56" spans="1:7" x14ac:dyDescent="0.2">
      <c r="A56" s="30"/>
      <c r="B56" s="124">
        <v>6.4</v>
      </c>
      <c r="C56" s="50">
        <v>201.5</v>
      </c>
      <c r="D56" s="51">
        <f>ROUND(25451.46*1.03,2)</f>
        <v>26215</v>
      </c>
      <c r="E56" s="51">
        <f>ROUND(33616.41*1.03,2)</f>
        <v>34624.9</v>
      </c>
      <c r="F56" s="51">
        <f t="shared" si="2"/>
        <v>130099.25558312656</v>
      </c>
      <c r="G56" s="125">
        <f t="shared" si="3"/>
        <v>171835.73200992559</v>
      </c>
    </row>
    <row r="57" spans="1:7" x14ac:dyDescent="0.2">
      <c r="A57" s="30"/>
      <c r="B57" s="124">
        <v>7</v>
      </c>
      <c r="C57" s="50">
        <v>248.4</v>
      </c>
      <c r="D57" s="51">
        <f>ROUND(30691.54*1.03,2)</f>
        <v>31612.29</v>
      </c>
      <c r="E57" s="51">
        <f>ROUND(40537.51*1.03,2)</f>
        <v>41753.64</v>
      </c>
      <c r="F57" s="51">
        <f t="shared" si="2"/>
        <v>127263.64734299517</v>
      </c>
      <c r="G57" s="125">
        <f t="shared" si="3"/>
        <v>168090.33816425118</v>
      </c>
    </row>
    <row r="58" spans="1:7" x14ac:dyDescent="0.2">
      <c r="A58" s="30"/>
      <c r="B58" s="124">
        <v>7.8</v>
      </c>
      <c r="C58" s="50">
        <v>300.39999999999998</v>
      </c>
      <c r="D58" s="51">
        <f>ROUND(37091.3*1.03,2)</f>
        <v>38204.04</v>
      </c>
      <c r="E58" s="51">
        <f>ROUND(48989.49*1.03,2)</f>
        <v>50459.17</v>
      </c>
      <c r="F58" s="51">
        <f t="shared" si="2"/>
        <v>127177.23035952065</v>
      </c>
      <c r="G58" s="125">
        <f t="shared" si="3"/>
        <v>167973.26897470039</v>
      </c>
    </row>
    <row r="59" spans="1:7" x14ac:dyDescent="0.2">
      <c r="A59" s="30"/>
      <c r="B59" s="124">
        <v>8.5</v>
      </c>
      <c r="C59" s="50">
        <v>359</v>
      </c>
      <c r="D59" s="51">
        <f>ROUND(44029.77*1.03,2)</f>
        <v>45350.66</v>
      </c>
      <c r="E59" s="51">
        <f>ROUND(58154.75*1.03,2)</f>
        <v>59899.39</v>
      </c>
      <c r="F59" s="51">
        <f t="shared" si="2"/>
        <v>126324.95821727021</v>
      </c>
      <c r="G59" s="125">
        <f t="shared" si="3"/>
        <v>166850.6685236769</v>
      </c>
    </row>
    <row r="60" spans="1:7" x14ac:dyDescent="0.2">
      <c r="A60" s="30"/>
      <c r="B60" s="124">
        <v>9.1999999999999993</v>
      </c>
      <c r="C60" s="50">
        <v>421</v>
      </c>
      <c r="D60" s="51">
        <f>ROUND(51270.42*1.03,2)</f>
        <v>52808.53</v>
      </c>
      <c r="E60" s="51">
        <f>ROUND(67718.17*1.03,2)</f>
        <v>69749.72</v>
      </c>
      <c r="F60" s="51">
        <f t="shared" si="2"/>
        <v>125435.93824228029</v>
      </c>
      <c r="G60" s="125">
        <f t="shared" si="3"/>
        <v>165676.29453681709</v>
      </c>
    </row>
    <row r="61" spans="1:7" x14ac:dyDescent="0.2">
      <c r="A61" s="30"/>
      <c r="B61" s="124">
        <v>9.9</v>
      </c>
      <c r="C61" s="50">
        <v>488</v>
      </c>
      <c r="D61" s="51">
        <f>ROUND(59282.58*1.03,2)</f>
        <v>61061.06</v>
      </c>
      <c r="E61" s="51">
        <f>ROUND(78300.71*1.03,2)</f>
        <v>80649.73</v>
      </c>
      <c r="F61" s="51">
        <f t="shared" si="2"/>
        <v>125125.12295081967</v>
      </c>
      <c r="G61" s="125">
        <f t="shared" si="3"/>
        <v>165265.84016393442</v>
      </c>
    </row>
    <row r="62" spans="1:7" x14ac:dyDescent="0.2">
      <c r="A62" s="30"/>
      <c r="B62" s="124">
        <v>10.5</v>
      </c>
      <c r="C62" s="50">
        <v>560</v>
      </c>
      <c r="D62" s="51">
        <f>ROUND(67294.28*1.03,2)</f>
        <v>69313.11</v>
      </c>
      <c r="E62" s="51">
        <f>ROUND(88897.57*1.03,2)</f>
        <v>91564.5</v>
      </c>
      <c r="F62" s="51">
        <f t="shared" si="2"/>
        <v>123773.41071428571</v>
      </c>
      <c r="G62" s="125">
        <f t="shared" si="3"/>
        <v>163508.03571428571</v>
      </c>
    </row>
    <row r="63" spans="1:7" x14ac:dyDescent="0.2">
      <c r="A63" s="30"/>
      <c r="B63" s="124">
        <v>11.5</v>
      </c>
      <c r="C63" s="50">
        <v>637</v>
      </c>
      <c r="D63" s="51">
        <f>ROUND(75753.67*1.03,2)</f>
        <v>78026.28</v>
      </c>
      <c r="E63" s="51">
        <f>ROUND(100055.74*1.03,2)</f>
        <v>103057.41</v>
      </c>
      <c r="F63" s="51">
        <f t="shared" si="2"/>
        <v>122490.23547880691</v>
      </c>
      <c r="G63" s="125">
        <f t="shared" si="3"/>
        <v>161785.57299843014</v>
      </c>
    </row>
    <row r="64" spans="1:7" x14ac:dyDescent="0.2">
      <c r="A64" s="30"/>
      <c r="B64" s="124">
        <v>12</v>
      </c>
      <c r="C64" s="50">
        <v>719</v>
      </c>
      <c r="D64" s="51">
        <f>ROUND(83926.89*1.03,2)</f>
        <v>86444.7</v>
      </c>
      <c r="E64" s="51">
        <f>ROUND(110779.44*1.03,2)</f>
        <v>114102.82</v>
      </c>
      <c r="F64" s="51">
        <f t="shared" si="2"/>
        <v>120229.06815020862</v>
      </c>
      <c r="G64" s="125">
        <f t="shared" si="3"/>
        <v>158696.55076495133</v>
      </c>
    </row>
    <row r="65" spans="1:7" x14ac:dyDescent="0.2">
      <c r="A65" s="30"/>
      <c r="B65" s="124">
        <v>12.5</v>
      </c>
      <c r="C65" s="50">
        <v>806</v>
      </c>
      <c r="D65" s="51">
        <f>ROUND(88859.56*1.03,2)</f>
        <v>91525.35</v>
      </c>
      <c r="E65" s="51">
        <f>ROUND(117284.49*1.03,2)</f>
        <v>120803.02</v>
      </c>
      <c r="F65" s="51">
        <f t="shared" si="2"/>
        <v>113555.02481389578</v>
      </c>
      <c r="G65" s="125">
        <f t="shared" si="3"/>
        <v>149879.67741935485</v>
      </c>
    </row>
    <row r="66" spans="1:7" x14ac:dyDescent="0.2">
      <c r="A66" s="30"/>
      <c r="B66" s="124">
        <v>14</v>
      </c>
      <c r="C66" s="50">
        <v>993.6</v>
      </c>
      <c r="D66" s="51">
        <f>ROUND(108607.17*1.03,2)</f>
        <v>111865.39</v>
      </c>
      <c r="E66" s="51">
        <f>ROUND(143349.1*1.03,2)</f>
        <v>147649.57</v>
      </c>
      <c r="F66" s="51">
        <f t="shared" si="2"/>
        <v>112585.94001610305</v>
      </c>
      <c r="G66" s="125">
        <f t="shared" si="3"/>
        <v>148600.61392914652</v>
      </c>
    </row>
    <row r="67" spans="1:7" x14ac:dyDescent="0.2">
      <c r="A67" s="30"/>
      <c r="B67" s="124">
        <v>15.5</v>
      </c>
      <c r="C67" s="50">
        <v>1200</v>
      </c>
      <c r="D67" s="51">
        <f>ROUND(127963.44*1.03,2)</f>
        <v>131802.34</v>
      </c>
      <c r="E67" s="51">
        <f>ROUND(168897.14*1.03,2)</f>
        <v>173964.05</v>
      </c>
      <c r="F67" s="51">
        <f t="shared" si="2"/>
        <v>109835.28333333334</v>
      </c>
      <c r="G67" s="125">
        <f t="shared" si="3"/>
        <v>144970.04166666666</v>
      </c>
    </row>
    <row r="68" spans="1:7" x14ac:dyDescent="0.2">
      <c r="A68" s="30"/>
      <c r="B68" s="124">
        <v>17</v>
      </c>
      <c r="C68" s="50">
        <v>1425</v>
      </c>
      <c r="D68" s="51">
        <f>ROUND(144362.15*1.03,2)</f>
        <v>148693.01</v>
      </c>
      <c r="E68" s="51">
        <f>ROUND(190541.63*1.03,2)</f>
        <v>196257.88</v>
      </c>
      <c r="F68" s="51">
        <f t="shared" si="2"/>
        <v>104345.97192982458</v>
      </c>
      <c r="G68" s="125">
        <f t="shared" si="3"/>
        <v>137724.82807017546</v>
      </c>
    </row>
    <row r="69" spans="1:7" x14ac:dyDescent="0.2">
      <c r="A69" s="30"/>
      <c r="B69" s="124">
        <v>18.5</v>
      </c>
      <c r="C69" s="50">
        <v>1685</v>
      </c>
      <c r="D69" s="51">
        <f>ROUND(169815.84*1.03,2)</f>
        <v>174910.32</v>
      </c>
      <c r="E69" s="51">
        <f>ROUND(224160.58*1.03,2)</f>
        <v>230885.4</v>
      </c>
      <c r="F69" s="51">
        <f t="shared" si="2"/>
        <v>103804.34421364985</v>
      </c>
      <c r="G69" s="125">
        <f t="shared" si="3"/>
        <v>137023.97626112759</v>
      </c>
    </row>
    <row r="70" spans="1:7" x14ac:dyDescent="0.2">
      <c r="A70" s="30"/>
      <c r="B70" s="124">
        <v>20</v>
      </c>
      <c r="C70" s="50">
        <v>1955</v>
      </c>
      <c r="D70" s="51">
        <f>ROUND(190470.72*1.03,2)</f>
        <v>196184.84</v>
      </c>
      <c r="E70" s="51">
        <f>ROUND(251395.62*1.03,2)</f>
        <v>258937.49</v>
      </c>
      <c r="F70" s="51">
        <f t="shared" si="2"/>
        <v>100350.30179028132</v>
      </c>
      <c r="G70" s="125">
        <f t="shared" si="3"/>
        <v>132448.84398976981</v>
      </c>
    </row>
    <row r="71" spans="1:7" x14ac:dyDescent="0.2">
      <c r="A71" s="30"/>
      <c r="B71" s="124">
        <v>21</v>
      </c>
      <c r="C71" s="50">
        <v>2240</v>
      </c>
      <c r="D71" s="51">
        <f>ROUND(215805.88*1.03,2)</f>
        <v>222280.06</v>
      </c>
      <c r="E71" s="51">
        <f>ROUND(284839.09*1.03,2)</f>
        <v>293384.26</v>
      </c>
      <c r="F71" s="51">
        <f t="shared" si="2"/>
        <v>99232.169642857145</v>
      </c>
      <c r="G71" s="125">
        <f t="shared" si="3"/>
        <v>130975.11607142858</v>
      </c>
    </row>
    <row r="72" spans="1:7" x14ac:dyDescent="0.2">
      <c r="A72" s="30"/>
      <c r="B72" s="124">
        <v>22.5</v>
      </c>
      <c r="C72" s="50">
        <v>2550</v>
      </c>
      <c r="D72" s="51">
        <f>ROUND(244236.72*1.03,2)</f>
        <v>251563.82</v>
      </c>
      <c r="E72" s="51">
        <f>ROUND(322364.65*1.03,2)</f>
        <v>332035.59000000003</v>
      </c>
      <c r="F72" s="51">
        <f t="shared" si="2"/>
        <v>98652.478431372554</v>
      </c>
      <c r="G72" s="125">
        <f t="shared" si="3"/>
        <v>130210.03529411765</v>
      </c>
    </row>
    <row r="73" spans="1:7" x14ac:dyDescent="0.2">
      <c r="A73" s="30"/>
      <c r="B73" s="124">
        <v>24</v>
      </c>
      <c r="C73" s="50">
        <v>2875</v>
      </c>
      <c r="D73" s="51">
        <f>ROUND(271846.51*1.03,2)</f>
        <v>280001.90999999997</v>
      </c>
      <c r="E73" s="51">
        <f>ROUND(358806.43*1.03,2)</f>
        <v>369570.62</v>
      </c>
      <c r="F73" s="51">
        <f t="shared" si="2"/>
        <v>97391.968695652162</v>
      </c>
      <c r="G73" s="125">
        <f t="shared" si="3"/>
        <v>128546.30260869564</v>
      </c>
    </row>
    <row r="74" spans="1:7" x14ac:dyDescent="0.2">
      <c r="A74" s="30"/>
      <c r="B74" s="335">
        <v>27</v>
      </c>
      <c r="C74" s="70">
        <v>3590</v>
      </c>
      <c r="D74" s="72">
        <f>ROUND(337688.35*1.03,2)</f>
        <v>347819</v>
      </c>
      <c r="E74" s="72">
        <f>ROUND(445717.38*1.03,2)</f>
        <v>459088.9</v>
      </c>
      <c r="F74" s="72">
        <f t="shared" si="2"/>
        <v>96885.515320334263</v>
      </c>
      <c r="G74" s="128">
        <f t="shared" si="3"/>
        <v>127879.91643454038</v>
      </c>
    </row>
    <row r="75" spans="1:7" x14ac:dyDescent="0.2">
      <c r="A75" s="30"/>
      <c r="F75" s="37"/>
    </row>
  </sheetData>
  <mergeCells count="2">
    <mergeCell ref="F41:G42"/>
    <mergeCell ref="F2:G3"/>
  </mergeCells>
  <phoneticPr fontId="0" type="noConversion"/>
  <hyperlinks>
    <hyperlink ref="H1" location="'2'!A1" display="Оглавление"/>
  </hyperlinks>
  <printOptions horizontalCentered="1"/>
  <pageMargins left="0.59055118110236227" right="0.59055118110236227" top="0.51181102362204722" bottom="0.82677165354330717" header="0.23622047244094491" footer="0.27559055118110237"/>
  <pageSetup paperSize="9" scale="79" orientation="portrait" r:id="rId1"/>
  <headerFooter alignWithMargins="0">
    <oddHeader>&amp;A</oddHeader>
  </headerFooter>
  <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H77"/>
  <sheetViews>
    <sheetView showGridLines="0" showRowColHeaders="0" view="pageBreakPreview" zoomScaleNormal="75" zoomScaleSheetLayoutView="100" workbookViewId="0">
      <selection activeCell="D68" sqref="D68"/>
    </sheetView>
  </sheetViews>
  <sheetFormatPr defaultColWidth="8.85546875" defaultRowHeight="12.75" x14ac:dyDescent="0.2"/>
  <cols>
    <col min="1" max="1" width="9.7109375" style="8" customWidth="1"/>
    <col min="2" max="3" width="9.7109375" style="3" customWidth="1"/>
    <col min="4" max="7" width="12.7109375" style="3" customWidth="1"/>
    <col min="8" max="16384" width="8.85546875" style="3"/>
  </cols>
  <sheetData>
    <row r="1" spans="1:8" x14ac:dyDescent="0.2">
      <c r="G1" s="145">
        <v>43435</v>
      </c>
      <c r="H1" s="10" t="s">
        <v>114</v>
      </c>
    </row>
    <row r="2" spans="1:8" x14ac:dyDescent="0.2">
      <c r="B2" s="406" t="s">
        <v>19</v>
      </c>
      <c r="C2" s="407"/>
      <c r="D2" s="407"/>
      <c r="E2" s="407"/>
      <c r="F2" s="436" t="s">
        <v>14</v>
      </c>
      <c r="G2" s="436"/>
    </row>
    <row r="3" spans="1:8" x14ac:dyDescent="0.2">
      <c r="B3" s="409" t="s">
        <v>16</v>
      </c>
      <c r="C3" s="410"/>
      <c r="D3" s="410"/>
      <c r="E3" s="410"/>
      <c r="F3" s="436"/>
      <c r="G3" s="436"/>
    </row>
    <row r="4" spans="1:8" ht="24.95" customHeight="1" x14ac:dyDescent="0.2">
      <c r="B4" s="267"/>
      <c r="C4" s="267"/>
      <c r="D4" s="240" t="s">
        <v>147</v>
      </c>
      <c r="E4" s="212"/>
      <c r="F4" s="240" t="s">
        <v>124</v>
      </c>
      <c r="G4" s="212"/>
    </row>
    <row r="5" spans="1:8" x14ac:dyDescent="0.2">
      <c r="A5" s="26"/>
      <c r="B5" s="246" t="s">
        <v>196</v>
      </c>
      <c r="C5" s="246" t="s">
        <v>195</v>
      </c>
      <c r="D5" s="244" t="s">
        <v>191</v>
      </c>
      <c r="E5" s="245" t="s">
        <v>192</v>
      </c>
      <c r="F5" s="244" t="s">
        <v>193</v>
      </c>
      <c r="G5" s="245" t="s">
        <v>194</v>
      </c>
    </row>
    <row r="6" spans="1:8" ht="15" customHeight="1" x14ac:dyDescent="0.2">
      <c r="A6" s="31"/>
      <c r="B6" s="50">
        <v>1.9</v>
      </c>
      <c r="C6" s="50">
        <v>14.3</v>
      </c>
      <c r="D6" s="51">
        <f>ROUND(12687.88*1.07,2)</f>
        <v>13576.03</v>
      </c>
      <c r="E6" s="51">
        <f>ROUND(15732.62*1.07,2)</f>
        <v>16833.900000000001</v>
      </c>
      <c r="F6" s="51">
        <f t="shared" ref="F6:F35" si="0">D6/C6*1000</f>
        <v>949372.72727272729</v>
      </c>
      <c r="G6" s="51">
        <f t="shared" ref="G6:G35" si="1">E6/C6*1000</f>
        <v>1177195.8041958041</v>
      </c>
    </row>
    <row r="7" spans="1:8" ht="15" customHeight="1" x14ac:dyDescent="0.2">
      <c r="A7" s="25"/>
      <c r="B7" s="50">
        <v>2</v>
      </c>
      <c r="C7" s="50">
        <v>17.3</v>
      </c>
      <c r="D7" s="51">
        <f>ROUND(13088.58*1.07,2)</f>
        <v>14004.78</v>
      </c>
      <c r="E7" s="51">
        <f>ROUND(16164.17*1.07,2)</f>
        <v>17295.66</v>
      </c>
      <c r="F7" s="51">
        <f t="shared" si="0"/>
        <v>809524.85549132945</v>
      </c>
      <c r="G7" s="51">
        <f t="shared" si="1"/>
        <v>999749.13294797682</v>
      </c>
    </row>
    <row r="8" spans="1:8" ht="15" customHeight="1" x14ac:dyDescent="0.2">
      <c r="A8" s="25"/>
      <c r="B8" s="50">
        <v>2.2000000000000002</v>
      </c>
      <c r="C8" s="50">
        <v>20.6</v>
      </c>
      <c r="D8" s="51">
        <f>ROUND(13092.97*1.07,2)</f>
        <v>14009.48</v>
      </c>
      <c r="E8" s="51">
        <f>ROUND(16369.63*1.07,2)</f>
        <v>17515.5</v>
      </c>
      <c r="F8" s="51">
        <f t="shared" si="0"/>
        <v>680071.84466019413</v>
      </c>
      <c r="G8" s="51">
        <f t="shared" si="1"/>
        <v>850266.99029126216</v>
      </c>
    </row>
    <row r="9" spans="1:8" ht="15" customHeight="1" x14ac:dyDescent="0.2">
      <c r="A9" s="25"/>
      <c r="B9" s="50">
        <v>2.4</v>
      </c>
      <c r="C9" s="50">
        <v>24.2</v>
      </c>
      <c r="D9" s="51">
        <f>ROUND(13480.57*1.07,2)</f>
        <v>14424.21</v>
      </c>
      <c r="E9" s="51">
        <f>ROUND(16792.94*1.07,2)</f>
        <v>17968.45</v>
      </c>
      <c r="F9" s="51">
        <f t="shared" si="0"/>
        <v>596041.73553719011</v>
      </c>
      <c r="G9" s="51">
        <f t="shared" si="1"/>
        <v>742497.93388429761</v>
      </c>
    </row>
    <row r="10" spans="1:8" ht="15" customHeight="1" x14ac:dyDescent="0.2">
      <c r="A10" s="25"/>
      <c r="B10" s="50">
        <v>2.6</v>
      </c>
      <c r="C10" s="50">
        <v>28</v>
      </c>
      <c r="D10" s="51">
        <f>ROUND(13693.99*1.07,2)</f>
        <v>14652.57</v>
      </c>
      <c r="E10" s="51">
        <f>ROUND(17080.67*1.07,2)</f>
        <v>18276.32</v>
      </c>
      <c r="F10" s="51">
        <f t="shared" si="0"/>
        <v>523306.07142857136</v>
      </c>
      <c r="G10" s="51">
        <f t="shared" si="1"/>
        <v>652725.71428571432</v>
      </c>
    </row>
    <row r="11" spans="1:8" ht="15" customHeight="1" x14ac:dyDescent="0.2">
      <c r="A11" s="25"/>
      <c r="B11" s="50">
        <v>2.8</v>
      </c>
      <c r="C11" s="50">
        <v>32</v>
      </c>
      <c r="D11" s="51">
        <f>ROUND(13750.67*1.07,2)</f>
        <v>14713.22</v>
      </c>
      <c r="E11" s="51">
        <f>ROUND(17384.77*1.07,2)</f>
        <v>18601.7</v>
      </c>
      <c r="F11" s="51">
        <f t="shared" si="0"/>
        <v>459788.125</v>
      </c>
      <c r="G11" s="51">
        <f t="shared" si="1"/>
        <v>581303.125</v>
      </c>
    </row>
    <row r="12" spans="1:8" ht="15" customHeight="1" x14ac:dyDescent="0.2">
      <c r="A12" s="25"/>
      <c r="B12" s="50">
        <v>3.1</v>
      </c>
      <c r="C12" s="50">
        <v>41.1</v>
      </c>
      <c r="D12" s="51">
        <f>ROUND(14303.85*1.07,2)</f>
        <v>15305.12</v>
      </c>
      <c r="E12" s="51">
        <f>ROUND(18177.98*1.07,2)</f>
        <v>19450.439999999999</v>
      </c>
      <c r="F12" s="51">
        <f t="shared" si="0"/>
        <v>372387.34793187346</v>
      </c>
      <c r="G12" s="51">
        <f t="shared" si="1"/>
        <v>473246.71532846714</v>
      </c>
    </row>
    <row r="13" spans="1:8" ht="15" customHeight="1" x14ac:dyDescent="0.2">
      <c r="A13" s="25"/>
      <c r="B13" s="50">
        <v>3.5</v>
      </c>
      <c r="C13" s="50">
        <v>51.2</v>
      </c>
      <c r="D13" s="51">
        <f>ROUND(15153.18*1.07,2)</f>
        <v>16213.9</v>
      </c>
      <c r="E13" s="51">
        <f>ROUND(19110.93*1.07,2)</f>
        <v>20448.7</v>
      </c>
      <c r="F13" s="51">
        <f t="shared" si="0"/>
        <v>316677.734375</v>
      </c>
      <c r="G13" s="51">
        <f t="shared" si="1"/>
        <v>399388.671875</v>
      </c>
    </row>
    <row r="14" spans="1:8" ht="15" customHeight="1" x14ac:dyDescent="0.2">
      <c r="A14" s="25"/>
      <c r="B14" s="50">
        <v>3.8</v>
      </c>
      <c r="C14" s="50">
        <v>58</v>
      </c>
      <c r="D14" s="51">
        <f>ROUND(15357.87*1.07,2)</f>
        <v>16432.919999999998</v>
      </c>
      <c r="E14" s="51">
        <f>ROUND(19542.47*1.07,2)</f>
        <v>20910.439999999999</v>
      </c>
      <c r="F14" s="51">
        <f t="shared" si="0"/>
        <v>283326.20689655171</v>
      </c>
      <c r="G14" s="51">
        <f t="shared" si="1"/>
        <v>360524.82758620684</v>
      </c>
    </row>
    <row r="15" spans="1:8" ht="15" customHeight="1" x14ac:dyDescent="0.2">
      <c r="A15" s="25"/>
      <c r="B15" s="50">
        <v>4.2</v>
      </c>
      <c r="C15" s="50">
        <v>72</v>
      </c>
      <c r="D15" s="51">
        <f>ROUND(16738.28*1.07,2)</f>
        <v>17909.96</v>
      </c>
      <c r="E15" s="51">
        <f>ROUND(20832.97*1.07,2)</f>
        <v>22291.279999999999</v>
      </c>
      <c r="F15" s="51">
        <f t="shared" si="0"/>
        <v>248749.44444444444</v>
      </c>
      <c r="G15" s="51">
        <f t="shared" si="1"/>
        <v>309601.11111111112</v>
      </c>
    </row>
    <row r="16" spans="1:8" ht="15" customHeight="1" x14ac:dyDescent="0.2">
      <c r="A16" s="25"/>
      <c r="B16" s="50">
        <v>4.5999999999999996</v>
      </c>
      <c r="C16" s="50">
        <v>90</v>
      </c>
      <c r="D16" s="51">
        <f>ROUND(19954.18*1.03,2)</f>
        <v>20552.810000000001</v>
      </c>
      <c r="E16" s="51">
        <f>ROUND(25465.23*1.03,2)</f>
        <v>26229.19</v>
      </c>
      <c r="F16" s="51">
        <f t="shared" si="0"/>
        <v>228364.55555555556</v>
      </c>
      <c r="G16" s="51">
        <f t="shared" si="1"/>
        <v>291435.44444444444</v>
      </c>
    </row>
    <row r="17" spans="1:7" ht="15" customHeight="1" x14ac:dyDescent="0.2">
      <c r="A17" s="25"/>
      <c r="B17" s="50">
        <v>5.6</v>
      </c>
      <c r="C17" s="50">
        <v>129</v>
      </c>
      <c r="D17" s="51">
        <f>ROUND(24771.69*1.03,2)</f>
        <v>25514.84</v>
      </c>
      <c r="E17" s="51">
        <f>ROUND(31988.92*1.03,2)</f>
        <v>32948.589999999997</v>
      </c>
      <c r="F17" s="51">
        <f t="shared" si="0"/>
        <v>197789.45736434107</v>
      </c>
      <c r="G17" s="51">
        <f t="shared" si="1"/>
        <v>255415.4263565891</v>
      </c>
    </row>
    <row r="18" spans="1:7" ht="15" customHeight="1" x14ac:dyDescent="0.2">
      <c r="A18" s="25"/>
      <c r="B18" s="50">
        <v>6.4</v>
      </c>
      <c r="C18" s="50">
        <v>175</v>
      </c>
      <c r="D18" s="51">
        <f>ROUND(29482.38*1.03,2)</f>
        <v>30366.85</v>
      </c>
      <c r="E18" s="51">
        <f>ROUND(36144.59*1.03,2)</f>
        <v>37228.93</v>
      </c>
      <c r="F18" s="51">
        <f t="shared" si="0"/>
        <v>173524.85714285713</v>
      </c>
      <c r="G18" s="51">
        <f t="shared" si="1"/>
        <v>212736.74285714288</v>
      </c>
    </row>
    <row r="19" spans="1:7" ht="15" customHeight="1" x14ac:dyDescent="0.2">
      <c r="A19" s="30"/>
      <c r="B19" s="50">
        <v>7.4</v>
      </c>
      <c r="C19" s="50">
        <v>228</v>
      </c>
      <c r="D19" s="51">
        <f>ROUND(35957.05*1.03,2)</f>
        <v>37035.760000000002</v>
      </c>
      <c r="E19" s="51">
        <f>ROUND(44360.08*1.03,2)</f>
        <v>45690.879999999997</v>
      </c>
      <c r="F19" s="51">
        <f t="shared" si="0"/>
        <v>162437.54385964913</v>
      </c>
      <c r="G19" s="51">
        <f t="shared" si="1"/>
        <v>200398.59649122806</v>
      </c>
    </row>
    <row r="20" spans="1:7" ht="15" customHeight="1" x14ac:dyDescent="0.2">
      <c r="A20" s="30"/>
      <c r="B20" s="50">
        <v>8.1999999999999993</v>
      </c>
      <c r="C20" s="50">
        <v>288</v>
      </c>
      <c r="D20" s="51">
        <f>ROUND(40669.29*1.03,2)</f>
        <v>41889.370000000003</v>
      </c>
      <c r="E20" s="51">
        <f>ROUND(50171.94*1.03,2)</f>
        <v>51677.1</v>
      </c>
      <c r="F20" s="51">
        <f t="shared" si="0"/>
        <v>145449.20138888891</v>
      </c>
      <c r="G20" s="51">
        <f t="shared" si="1"/>
        <v>179434.375</v>
      </c>
    </row>
    <row r="21" spans="1:7" ht="15" customHeight="1" x14ac:dyDescent="0.2">
      <c r="A21" s="26"/>
      <c r="B21" s="50">
        <v>9.1999999999999993</v>
      </c>
      <c r="C21" s="50">
        <v>360</v>
      </c>
      <c r="D21" s="51">
        <f>ROUND(41117.49*1.03,2)</f>
        <v>42351.01</v>
      </c>
      <c r="E21" s="51">
        <f>ROUND(53262.15*1.03,2)</f>
        <v>54860.01</v>
      </c>
      <c r="F21" s="51">
        <f t="shared" si="0"/>
        <v>117641.69444444445</v>
      </c>
      <c r="G21" s="51">
        <f t="shared" si="1"/>
        <v>152388.91666666666</v>
      </c>
    </row>
    <row r="22" spans="1:7" ht="15" customHeight="1" x14ac:dyDescent="0.2">
      <c r="A22" s="26"/>
      <c r="B22" s="50">
        <v>10</v>
      </c>
      <c r="C22" s="50">
        <v>435</v>
      </c>
      <c r="D22" s="51">
        <f>ROUND(48376.86*1.03,2)</f>
        <v>49828.17</v>
      </c>
      <c r="E22" s="51">
        <f>ROUND(62630.46*1.03,2)</f>
        <v>64509.37</v>
      </c>
      <c r="F22" s="51">
        <f t="shared" si="0"/>
        <v>114547.5172413793</v>
      </c>
      <c r="G22" s="51">
        <f t="shared" si="1"/>
        <v>148297.40229885059</v>
      </c>
    </row>
    <row r="23" spans="1:7" ht="15" customHeight="1" x14ac:dyDescent="0.2">
      <c r="A23" s="26"/>
      <c r="B23" s="50">
        <v>11</v>
      </c>
      <c r="C23" s="50">
        <v>516</v>
      </c>
      <c r="D23" s="51">
        <f>ROUND(56741.18*1.03,2)</f>
        <v>58443.42</v>
      </c>
      <c r="E23" s="51">
        <f>ROUND(73485.78*1.03,2)</f>
        <v>75690.350000000006</v>
      </c>
      <c r="F23" s="51">
        <f t="shared" si="0"/>
        <v>113262.44186046511</v>
      </c>
      <c r="G23" s="51">
        <f t="shared" si="1"/>
        <v>146686.72480620156</v>
      </c>
    </row>
    <row r="24" spans="1:7" ht="15" customHeight="1" x14ac:dyDescent="0.2">
      <c r="A24" s="26"/>
      <c r="B24" s="50">
        <v>12</v>
      </c>
      <c r="C24" s="50">
        <v>604</v>
      </c>
      <c r="D24" s="51">
        <f>ROUND(66306.79*1.03,2)</f>
        <v>68295.990000000005</v>
      </c>
      <c r="E24" s="51">
        <f>ROUND(85903.72*1.03,2)</f>
        <v>88480.83</v>
      </c>
      <c r="F24" s="51">
        <f t="shared" si="0"/>
        <v>113072.83112582781</v>
      </c>
      <c r="G24" s="51">
        <f t="shared" si="1"/>
        <v>146491.44039735099</v>
      </c>
    </row>
    <row r="25" spans="1:7" ht="15" customHeight="1" x14ac:dyDescent="0.2">
      <c r="A25" s="26"/>
      <c r="B25" s="50">
        <v>13</v>
      </c>
      <c r="C25" s="50">
        <v>699.5</v>
      </c>
      <c r="D25" s="51">
        <f>ROUND(80445.91*1.03,2)</f>
        <v>82859.289999999994</v>
      </c>
      <c r="E25" s="51">
        <f>ROUND(104150.09*1.03,2)</f>
        <v>107274.59</v>
      </c>
      <c r="F25" s="51">
        <f t="shared" si="0"/>
        <v>118455.02501786991</v>
      </c>
      <c r="G25" s="51">
        <f t="shared" si="1"/>
        <v>153358.95639742675</v>
      </c>
    </row>
    <row r="26" spans="1:7" ht="15" customHeight="1" x14ac:dyDescent="0.2">
      <c r="A26" s="26"/>
      <c r="B26" s="50">
        <v>14</v>
      </c>
      <c r="C26" s="50">
        <v>802</v>
      </c>
      <c r="D26" s="51">
        <f>ROUND(91324.02*1.03,2)</f>
        <v>94063.74</v>
      </c>
      <c r="E26" s="51">
        <f>ROUND(118319*1.03,2)</f>
        <v>121868.57</v>
      </c>
      <c r="F26" s="51">
        <f t="shared" si="0"/>
        <v>117286.45885286784</v>
      </c>
      <c r="G26" s="51">
        <f t="shared" si="1"/>
        <v>151955.8229426434</v>
      </c>
    </row>
    <row r="27" spans="1:7" ht="15" customHeight="1" x14ac:dyDescent="0.2">
      <c r="A27" s="26"/>
      <c r="B27" s="50">
        <v>15</v>
      </c>
      <c r="C27" s="50">
        <v>911</v>
      </c>
      <c r="D27" s="51">
        <f>ROUND(96743.73*1.03,2)</f>
        <v>99646.04</v>
      </c>
      <c r="E27" s="51">
        <f>ROUND(125353.45*1.03,2)</f>
        <v>129114.05</v>
      </c>
      <c r="F27" s="51">
        <f t="shared" si="0"/>
        <v>109380.9440175631</v>
      </c>
      <c r="G27" s="51">
        <f t="shared" si="1"/>
        <v>141727.82656421515</v>
      </c>
    </row>
    <row r="28" spans="1:7" ht="15" customHeight="1" x14ac:dyDescent="0.2">
      <c r="A28" s="26"/>
      <c r="B28" s="50">
        <v>15.5</v>
      </c>
      <c r="C28" s="50">
        <v>1030</v>
      </c>
      <c r="D28" s="51">
        <f>ROUND(108411.11*1.03,2)</f>
        <v>111663.44</v>
      </c>
      <c r="E28" s="51">
        <f>ROUND(140474.04*1.03,2)</f>
        <v>144688.26</v>
      </c>
      <c r="F28" s="51">
        <f t="shared" si="0"/>
        <v>108411.10679611651</v>
      </c>
      <c r="G28" s="51">
        <f t="shared" si="1"/>
        <v>140474.03883495147</v>
      </c>
    </row>
    <row r="29" spans="1:7" ht="15" customHeight="1" x14ac:dyDescent="0.2">
      <c r="A29" s="26"/>
      <c r="B29" s="50">
        <v>16.5</v>
      </c>
      <c r="C29" s="50">
        <v>1150</v>
      </c>
      <c r="D29" s="51">
        <f>ROUND(118840.94*1.03,2)</f>
        <v>122406.17</v>
      </c>
      <c r="E29" s="51">
        <f>ROUND(153953.79*1.03,2)</f>
        <v>158572.4</v>
      </c>
      <c r="F29" s="51">
        <f t="shared" si="0"/>
        <v>106440.14782608696</v>
      </c>
      <c r="G29" s="51">
        <f t="shared" si="1"/>
        <v>137889.04347826086</v>
      </c>
    </row>
    <row r="30" spans="1:7" ht="15" customHeight="1" x14ac:dyDescent="0.2">
      <c r="A30" s="26"/>
      <c r="B30" s="50">
        <v>18.5</v>
      </c>
      <c r="C30" s="50">
        <v>1441</v>
      </c>
      <c r="D30" s="51">
        <f>ROUND(145628.36*1.03,2)</f>
        <v>149997.21</v>
      </c>
      <c r="E30" s="51">
        <f>ROUND(188710.27*1.03,2)</f>
        <v>194371.58</v>
      </c>
      <c r="F30" s="51">
        <f t="shared" si="0"/>
        <v>104092.44274809161</v>
      </c>
      <c r="G30" s="51">
        <f t="shared" si="1"/>
        <v>134886.5926439972</v>
      </c>
    </row>
    <row r="31" spans="1:7" ht="15" customHeight="1" x14ac:dyDescent="0.2">
      <c r="A31" s="26"/>
      <c r="B31" s="50">
        <v>20</v>
      </c>
      <c r="C31" s="50">
        <v>1739</v>
      </c>
      <c r="D31" s="51">
        <f>ROUND(166153.48*1.03,2)</f>
        <v>171138.08</v>
      </c>
      <c r="E31" s="51">
        <f>ROUND(215258.33*1.03,2)</f>
        <v>221716.08</v>
      </c>
      <c r="F31" s="51">
        <f t="shared" si="0"/>
        <v>98411.77688326624</v>
      </c>
      <c r="G31" s="51">
        <f t="shared" si="1"/>
        <v>127496.30822311672</v>
      </c>
    </row>
    <row r="32" spans="1:7" ht="15" customHeight="1" x14ac:dyDescent="0.2">
      <c r="A32" s="26"/>
      <c r="B32" s="50">
        <v>22</v>
      </c>
      <c r="C32" s="50">
        <v>2065</v>
      </c>
      <c r="D32" s="51">
        <f>ROUND(197163.29*1.03,2)</f>
        <v>203078.19</v>
      </c>
      <c r="E32" s="51">
        <f>ROUND(255367.67*1.03,2)</f>
        <v>263028.7</v>
      </c>
      <c r="F32" s="51">
        <f t="shared" si="0"/>
        <v>98342.94915254238</v>
      </c>
      <c r="G32" s="51">
        <f t="shared" si="1"/>
        <v>127374.67312348669</v>
      </c>
    </row>
    <row r="33" spans="1:7" ht="15" customHeight="1" x14ac:dyDescent="0.2">
      <c r="A33" s="26"/>
      <c r="B33" s="50">
        <v>24</v>
      </c>
      <c r="C33" s="50">
        <v>2420</v>
      </c>
      <c r="D33" s="51">
        <f>ROUND(229352.52*1.03,2)</f>
        <v>236233.1</v>
      </c>
      <c r="E33" s="51">
        <f>ROUND(297146.2*1.03,2)</f>
        <v>306060.59000000003</v>
      </c>
      <c r="F33" s="51">
        <f t="shared" si="0"/>
        <v>97616.983471074374</v>
      </c>
      <c r="G33" s="51">
        <f t="shared" si="1"/>
        <v>126471.31818181819</v>
      </c>
    </row>
    <row r="34" spans="1:7" ht="15" customHeight="1" x14ac:dyDescent="0.2">
      <c r="A34" s="26"/>
      <c r="B34" s="50">
        <v>26</v>
      </c>
      <c r="C34" s="50">
        <v>2800</v>
      </c>
      <c r="D34" s="51">
        <f>ROUND(263996.16*1.03,2)</f>
        <v>271916.03999999998</v>
      </c>
      <c r="E34" s="51">
        <f>ROUND(341951.05*1.03,2)</f>
        <v>352209.58</v>
      </c>
      <c r="F34" s="51">
        <f t="shared" si="0"/>
        <v>97112.871428571423</v>
      </c>
      <c r="G34" s="51">
        <f t="shared" si="1"/>
        <v>125789.13571428572</v>
      </c>
    </row>
    <row r="35" spans="1:7" ht="15" customHeight="1" x14ac:dyDescent="0.2">
      <c r="A35" s="26"/>
      <c r="B35" s="76">
        <v>27.5</v>
      </c>
      <c r="C35" s="76">
        <v>3210</v>
      </c>
      <c r="D35" s="72">
        <f>ROUND(301476.57*1.03,2)</f>
        <v>310520.87</v>
      </c>
      <c r="E35" s="72">
        <f>ROUND(390301.16*1.03,2)</f>
        <v>402010.19</v>
      </c>
      <c r="F35" s="72">
        <f t="shared" si="0"/>
        <v>96735.473520249216</v>
      </c>
      <c r="G35" s="72">
        <f t="shared" si="1"/>
        <v>125236.81931464175</v>
      </c>
    </row>
    <row r="36" spans="1:7" ht="7.15" customHeight="1" x14ac:dyDescent="0.2">
      <c r="A36" s="30"/>
      <c r="B36" s="6"/>
      <c r="C36" s="6"/>
      <c r="D36" s="7"/>
      <c r="E36" s="7"/>
      <c r="F36" s="7"/>
      <c r="G36" s="7"/>
    </row>
    <row r="37" spans="1:7" x14ac:dyDescent="0.2">
      <c r="A37" s="30"/>
      <c r="F37" s="4"/>
      <c r="G37" s="145">
        <v>43160</v>
      </c>
    </row>
    <row r="38" spans="1:7" x14ac:dyDescent="0.2">
      <c r="A38" s="30"/>
      <c r="B38" s="261" t="s">
        <v>8</v>
      </c>
      <c r="C38" s="262"/>
      <c r="D38" s="262"/>
      <c r="E38" s="263"/>
      <c r="F38" s="436" t="s">
        <v>136</v>
      </c>
      <c r="G38" s="436"/>
    </row>
    <row r="39" spans="1:7" x14ac:dyDescent="0.2">
      <c r="A39" s="30"/>
      <c r="B39" s="264" t="s">
        <v>17</v>
      </c>
      <c r="C39" s="265"/>
      <c r="D39" s="265"/>
      <c r="E39" s="266"/>
      <c r="F39" s="436"/>
      <c r="G39" s="436"/>
    </row>
    <row r="40" spans="1:7" ht="24.75" customHeight="1" x14ac:dyDescent="0.2">
      <c r="A40" s="30"/>
      <c r="B40" s="267"/>
      <c r="C40" s="267"/>
      <c r="D40" s="240" t="s">
        <v>147</v>
      </c>
      <c r="E40" s="212"/>
      <c r="F40" s="240" t="s">
        <v>124</v>
      </c>
      <c r="G40" s="212"/>
    </row>
    <row r="41" spans="1:7" x14ac:dyDescent="0.2">
      <c r="A41" s="30"/>
      <c r="B41" s="246" t="s">
        <v>196</v>
      </c>
      <c r="C41" s="246" t="s">
        <v>195</v>
      </c>
      <c r="D41" s="244" t="s">
        <v>191</v>
      </c>
      <c r="E41" s="245" t="s">
        <v>192</v>
      </c>
      <c r="F41" s="244" t="s">
        <v>193</v>
      </c>
      <c r="G41" s="245" t="s">
        <v>194</v>
      </c>
    </row>
    <row r="42" spans="1:7" ht="13.15" customHeight="1" x14ac:dyDescent="0.2">
      <c r="A42" s="26"/>
      <c r="B42" s="102">
        <v>3.1</v>
      </c>
      <c r="C42" s="50">
        <v>37.799999999999997</v>
      </c>
      <c r="D42" s="51">
        <f>ROUND(19885.87*1.07,2)</f>
        <v>21277.88</v>
      </c>
      <c r="E42" s="51">
        <f>ROUND(23859.62*1.07,2)</f>
        <v>25529.79</v>
      </c>
      <c r="F42" s="51">
        <f t="shared" ref="F42:F60" si="2">D42/C42*1000</f>
        <v>562906.87830687838</v>
      </c>
      <c r="G42" s="51">
        <f t="shared" ref="G42:G60" si="3">E42/C42*1000</f>
        <v>675391.26984126994</v>
      </c>
    </row>
    <row r="43" spans="1:7" ht="13.15" customHeight="1" x14ac:dyDescent="0.2">
      <c r="A43" s="26"/>
      <c r="B43" s="102">
        <v>3.4</v>
      </c>
      <c r="C43" s="50">
        <v>45.7</v>
      </c>
      <c r="D43" s="51">
        <f>ROUND(20046.82*1.07,2)</f>
        <v>21450.1</v>
      </c>
      <c r="E43" s="51">
        <f>ROUND(24052.77*1.07,2)</f>
        <v>25736.46</v>
      </c>
      <c r="F43" s="51">
        <f t="shared" si="2"/>
        <v>469367.61487964983</v>
      </c>
      <c r="G43" s="51">
        <f t="shared" si="3"/>
        <v>563161.05032822746</v>
      </c>
    </row>
    <row r="44" spans="1:7" x14ac:dyDescent="0.2">
      <c r="A44" s="26"/>
      <c r="B44" s="50">
        <v>3.7</v>
      </c>
      <c r="C44" s="50">
        <v>54.4</v>
      </c>
      <c r="D44" s="51">
        <f>ROUND(20887.32*1.07,2)</f>
        <v>22349.43</v>
      </c>
      <c r="E44" s="51">
        <f>ROUND(25061.24*1.07,2)</f>
        <v>26815.53</v>
      </c>
      <c r="F44" s="51">
        <f t="shared" si="2"/>
        <v>410835.11029411765</v>
      </c>
      <c r="G44" s="51">
        <f t="shared" si="3"/>
        <v>492932.5367647059</v>
      </c>
    </row>
    <row r="45" spans="1:7" x14ac:dyDescent="0.2">
      <c r="A45" s="26"/>
      <c r="B45" s="50">
        <v>4</v>
      </c>
      <c r="C45" s="50">
        <v>63.9</v>
      </c>
      <c r="D45" s="51">
        <f>ROUND(21988.98*1.07,2)</f>
        <v>23528.21</v>
      </c>
      <c r="E45" s="51">
        <f>ROUND(26382.99*1.07,2)</f>
        <v>28229.8</v>
      </c>
      <c r="F45" s="51">
        <f t="shared" si="2"/>
        <v>368203.59937402193</v>
      </c>
      <c r="G45" s="51">
        <f t="shared" si="3"/>
        <v>441780.90766823164</v>
      </c>
    </row>
    <row r="46" spans="1:7" x14ac:dyDescent="0.2">
      <c r="A46" s="26"/>
      <c r="B46" s="50">
        <v>4.3</v>
      </c>
      <c r="C46" s="50">
        <v>74.099999999999994</v>
      </c>
      <c r="D46" s="51">
        <f>ROUND(21588.95*1.07,2)</f>
        <v>23100.18</v>
      </c>
      <c r="E46" s="51">
        <f>ROUND(25903.04*1.07,2)</f>
        <v>27716.25</v>
      </c>
      <c r="F46" s="51">
        <f t="shared" si="2"/>
        <v>311743.31983805675</v>
      </c>
      <c r="G46" s="51">
        <f t="shared" si="3"/>
        <v>374038.46153846156</v>
      </c>
    </row>
    <row r="47" spans="1:7" x14ac:dyDescent="0.2">
      <c r="A47" s="26"/>
      <c r="B47" s="50">
        <v>4.5999999999999996</v>
      </c>
      <c r="C47" s="50">
        <v>85</v>
      </c>
      <c r="D47" s="51">
        <f>ROUND(22114.07*1.07,2)</f>
        <v>23662.05</v>
      </c>
      <c r="E47" s="51">
        <f>ROUND(26533.19*1.07,2)</f>
        <v>28390.51</v>
      </c>
      <c r="F47" s="51">
        <f t="shared" si="2"/>
        <v>278377.0588235294</v>
      </c>
      <c r="G47" s="51">
        <f t="shared" si="3"/>
        <v>334006</v>
      </c>
    </row>
    <row r="48" spans="1:7" x14ac:dyDescent="0.2">
      <c r="A48" s="26"/>
      <c r="B48" s="50">
        <v>5.2</v>
      </c>
      <c r="C48" s="50">
        <v>109</v>
      </c>
      <c r="D48" s="51">
        <f>ROUND(25933.03*1.07,2)</f>
        <v>27748.34</v>
      </c>
      <c r="E48" s="51">
        <f>ROUND(31115.21*1.07,2)</f>
        <v>33293.269999999997</v>
      </c>
      <c r="F48" s="51">
        <f t="shared" si="2"/>
        <v>254571.92660550459</v>
      </c>
      <c r="G48" s="51">
        <f t="shared" si="3"/>
        <v>305442.84403669724</v>
      </c>
    </row>
    <row r="49" spans="1:7" x14ac:dyDescent="0.2">
      <c r="A49" s="26"/>
      <c r="B49" s="50">
        <v>5.8</v>
      </c>
      <c r="C49" s="50">
        <v>136.5</v>
      </c>
      <c r="D49" s="51">
        <f>ROUND(30379.85*1.07,2)</f>
        <v>32506.44</v>
      </c>
      <c r="E49" s="51">
        <f>ROUND(36450.69*1.07,2)</f>
        <v>39002.239999999998</v>
      </c>
      <c r="F49" s="51">
        <f t="shared" si="2"/>
        <v>238142.41758241758</v>
      </c>
      <c r="G49" s="51">
        <f t="shared" si="3"/>
        <v>285730.69597069593</v>
      </c>
    </row>
    <row r="50" spans="1:7" x14ac:dyDescent="0.2">
      <c r="A50" s="26"/>
      <c r="B50" s="50">
        <v>6.2</v>
      </c>
      <c r="C50" s="50">
        <v>152</v>
      </c>
      <c r="D50" s="51">
        <f>ROUND(30766.82*1.07,2)</f>
        <v>32920.5</v>
      </c>
      <c r="E50" s="51">
        <f>ROUND(36914.96*1.07,2)</f>
        <v>39499.01</v>
      </c>
      <c r="F50" s="51">
        <f t="shared" si="2"/>
        <v>216582.23684210525</v>
      </c>
      <c r="G50" s="51">
        <f t="shared" si="3"/>
        <v>259861.90789473688</v>
      </c>
    </row>
    <row r="51" spans="1:7" x14ac:dyDescent="0.2">
      <c r="A51" s="26"/>
      <c r="B51" s="50">
        <v>7.6</v>
      </c>
      <c r="C51" s="50">
        <v>237</v>
      </c>
      <c r="D51" s="51">
        <f>ROUND(41222.53*1.07,2)</f>
        <v>44108.11</v>
      </c>
      <c r="E51" s="51">
        <f>ROUND(49460.03*1.07,2)</f>
        <v>52922.23</v>
      </c>
      <c r="F51" s="51">
        <f t="shared" si="2"/>
        <v>186110.16877637131</v>
      </c>
      <c r="G51" s="51">
        <f t="shared" si="3"/>
        <v>223300.54852320676</v>
      </c>
    </row>
    <row r="52" spans="1:7" x14ac:dyDescent="0.2">
      <c r="A52" s="26"/>
      <c r="B52" s="50">
        <v>8.4</v>
      </c>
      <c r="C52" s="50">
        <v>286.5</v>
      </c>
      <c r="D52" s="51">
        <f>ROUND(43911.44*1.07,2)</f>
        <v>46985.24</v>
      </c>
      <c r="E52" s="51">
        <f>ROUND(52686.3*1.07,2)</f>
        <v>56374.34</v>
      </c>
      <c r="F52" s="51">
        <f t="shared" si="2"/>
        <v>163997.34729493893</v>
      </c>
      <c r="G52" s="51">
        <f t="shared" si="3"/>
        <v>196769.07504363</v>
      </c>
    </row>
    <row r="53" spans="1:7" x14ac:dyDescent="0.2">
      <c r="A53" s="26"/>
      <c r="B53" s="50">
        <v>9.1999999999999993</v>
      </c>
      <c r="C53" s="50">
        <v>340.5</v>
      </c>
      <c r="D53" s="51">
        <f>ROUND(45922.07*1.07,2)</f>
        <v>49136.61</v>
      </c>
      <c r="E53" s="51">
        <f>ROUND(57853.61*1.07,2)</f>
        <v>61903.360000000001</v>
      </c>
      <c r="F53" s="51">
        <f t="shared" si="2"/>
        <v>144307.22466960351</v>
      </c>
      <c r="G53" s="51">
        <f t="shared" si="3"/>
        <v>181801.35095447872</v>
      </c>
    </row>
    <row r="54" spans="1:7" x14ac:dyDescent="0.2">
      <c r="A54" s="26"/>
      <c r="B54" s="50">
        <v>9.9</v>
      </c>
      <c r="C54" s="50">
        <v>399.5</v>
      </c>
      <c r="D54" s="51">
        <f>ROUND(51951.29*1.07,2)</f>
        <v>55587.88</v>
      </c>
      <c r="E54" s="51">
        <f>ROUND(66568.79*1.07,2)</f>
        <v>71228.61</v>
      </c>
      <c r="F54" s="51">
        <f t="shared" si="2"/>
        <v>139143.62953692113</v>
      </c>
      <c r="G54" s="51">
        <f t="shared" si="3"/>
        <v>178294.39299123906</v>
      </c>
    </row>
    <row r="55" spans="1:7" x14ac:dyDescent="0.2">
      <c r="A55" s="26"/>
      <c r="B55" s="50">
        <v>10.5</v>
      </c>
      <c r="C55" s="50">
        <v>465</v>
      </c>
      <c r="D55" s="51">
        <f>ROUND(52825.11*1.07,2)</f>
        <v>56522.87</v>
      </c>
      <c r="E55" s="51">
        <f>ROUND(67688.55*1.07,2)</f>
        <v>72426.75</v>
      </c>
      <c r="F55" s="51">
        <f t="shared" si="2"/>
        <v>121554.55913978495</v>
      </c>
      <c r="G55" s="51">
        <f t="shared" si="3"/>
        <v>155756.45161290321</v>
      </c>
    </row>
    <row r="56" spans="1:7" x14ac:dyDescent="0.2">
      <c r="A56" s="26"/>
      <c r="B56" s="50">
        <v>12</v>
      </c>
      <c r="C56" s="50">
        <v>604</v>
      </c>
      <c r="D56" s="51">
        <f>ROUND(62673.52*1.07,2)</f>
        <v>67060.67</v>
      </c>
      <c r="E56" s="51">
        <f>ROUND(80308.06*1.07,2)</f>
        <v>85929.62</v>
      </c>
      <c r="F56" s="51">
        <f t="shared" si="2"/>
        <v>111027.59933774834</v>
      </c>
      <c r="G56" s="51">
        <f t="shared" si="3"/>
        <v>142267.58278145696</v>
      </c>
    </row>
    <row r="57" spans="1:7" x14ac:dyDescent="0.2">
      <c r="A57" s="26"/>
      <c r="B57" s="50">
        <v>13.5</v>
      </c>
      <c r="C57" s="50">
        <v>763.5</v>
      </c>
      <c r="D57" s="51">
        <f>ROUND(78475.3*1.07,2)</f>
        <v>83968.57</v>
      </c>
      <c r="E57" s="51">
        <f>ROUND(100556*1.07,2)</f>
        <v>107594.92</v>
      </c>
      <c r="F57" s="51">
        <f t="shared" si="2"/>
        <v>109978.480681074</v>
      </c>
      <c r="G57" s="51">
        <f t="shared" si="3"/>
        <v>140923.27439423706</v>
      </c>
    </row>
    <row r="58" spans="1:7" x14ac:dyDescent="0.2">
      <c r="A58" s="26"/>
      <c r="B58" s="50">
        <v>15</v>
      </c>
      <c r="C58" s="50">
        <v>942</v>
      </c>
      <c r="D58" s="51">
        <f>ROUND(91906*1.07,2)</f>
        <v>98339.42</v>
      </c>
      <c r="E58" s="51">
        <f>ROUND(117765.68*1.07,2)</f>
        <v>126009.28</v>
      </c>
      <c r="F58" s="51">
        <f t="shared" si="2"/>
        <v>104394.28874734607</v>
      </c>
      <c r="G58" s="51">
        <f t="shared" si="3"/>
        <v>133767.81316348194</v>
      </c>
    </row>
    <row r="59" spans="1:7" x14ac:dyDescent="0.2">
      <c r="A59" s="26"/>
      <c r="B59" s="50">
        <v>16.5</v>
      </c>
      <c r="C59" s="50">
        <v>1140</v>
      </c>
      <c r="D59" s="51">
        <f>ROUND(107900.54*1.07,2)</f>
        <v>115453.58</v>
      </c>
      <c r="E59" s="51">
        <f>ROUND(138300.53*1.07,2)</f>
        <v>147981.57</v>
      </c>
      <c r="F59" s="51">
        <f t="shared" si="2"/>
        <v>101275.0701754386</v>
      </c>
      <c r="G59" s="51">
        <f t="shared" si="3"/>
        <v>129808.39473684211</v>
      </c>
    </row>
    <row r="60" spans="1:7" x14ac:dyDescent="0.2">
      <c r="A60" s="26"/>
      <c r="B60" s="76">
        <v>18.5</v>
      </c>
      <c r="C60" s="76">
        <v>1365</v>
      </c>
      <c r="D60" s="72">
        <f>ROUND(128426.31*1.07,2)</f>
        <v>137416.15</v>
      </c>
      <c r="E60" s="72">
        <f>ROUND(167987.19*1.07,2)</f>
        <v>179746.29</v>
      </c>
      <c r="F60" s="72">
        <f t="shared" si="2"/>
        <v>100671.17216117216</v>
      </c>
      <c r="G60" s="72">
        <f t="shared" si="3"/>
        <v>131682.26373626373</v>
      </c>
    </row>
    <row r="61" spans="1:7" ht="7.9" customHeight="1" x14ac:dyDescent="0.2">
      <c r="A61" s="27"/>
    </row>
    <row r="62" spans="1:7" s="13" customFormat="1" x14ac:dyDescent="0.2">
      <c r="A62" s="27"/>
      <c r="B62" s="14" t="s">
        <v>113</v>
      </c>
      <c r="C62" s="14"/>
      <c r="D62" s="14"/>
      <c r="E62" s="14"/>
      <c r="F62" s="14"/>
      <c r="G62" s="145">
        <v>43435</v>
      </c>
    </row>
    <row r="63" spans="1:7" s="13" customFormat="1" ht="13.15" customHeight="1" x14ac:dyDescent="0.2">
      <c r="A63" s="26"/>
      <c r="B63" s="261" t="s">
        <v>199</v>
      </c>
      <c r="C63" s="255"/>
      <c r="D63" s="255"/>
      <c r="E63" s="256"/>
      <c r="F63" s="436" t="s">
        <v>103</v>
      </c>
      <c r="G63" s="436"/>
    </row>
    <row r="64" spans="1:7" s="13" customFormat="1" x14ac:dyDescent="0.2">
      <c r="A64" s="26"/>
      <c r="B64" s="268" t="s">
        <v>200</v>
      </c>
      <c r="C64" s="242"/>
      <c r="D64" s="242"/>
      <c r="E64" s="243"/>
      <c r="F64" s="436"/>
      <c r="G64" s="436"/>
    </row>
    <row r="65" spans="1:7" s="13" customFormat="1" ht="24.95" customHeight="1" x14ac:dyDescent="0.2">
      <c r="A65" s="26"/>
      <c r="B65" s="267"/>
      <c r="C65" s="267"/>
      <c r="D65" s="240" t="s">
        <v>147</v>
      </c>
      <c r="E65" s="212"/>
      <c r="F65" s="240" t="s">
        <v>124</v>
      </c>
      <c r="G65" s="212"/>
    </row>
    <row r="66" spans="1:7" s="13" customFormat="1" x14ac:dyDescent="0.2">
      <c r="A66" s="26"/>
      <c r="B66" s="246" t="s">
        <v>196</v>
      </c>
      <c r="C66" s="246" t="s">
        <v>195</v>
      </c>
      <c r="D66" s="244" t="s">
        <v>191</v>
      </c>
      <c r="E66" s="245" t="s">
        <v>192</v>
      </c>
      <c r="F66" s="244" t="s">
        <v>193</v>
      </c>
      <c r="G66" s="245" t="s">
        <v>194</v>
      </c>
    </row>
    <row r="67" spans="1:7" s="13" customFormat="1" x14ac:dyDescent="0.2">
      <c r="A67" s="26"/>
      <c r="B67" s="54">
        <v>4.7</v>
      </c>
      <c r="C67" s="54">
        <v>87.7</v>
      </c>
      <c r="D67" s="51">
        <f>ROUND(24586.25*1.03,2)</f>
        <v>25323.84</v>
      </c>
      <c r="E67" s="51">
        <f>ROUND(30913.42*1.03,2)</f>
        <v>31840.82</v>
      </c>
      <c r="F67" s="51">
        <f t="shared" ref="F67:F76" si="4">D67/C67*1000</f>
        <v>288755.30216647661</v>
      </c>
      <c r="G67" s="51">
        <f t="shared" ref="G67:G76" si="5">E67/C67*1000</f>
        <v>363065.22234891675</v>
      </c>
    </row>
    <row r="68" spans="1:7" s="13" customFormat="1" x14ac:dyDescent="0.2">
      <c r="A68" s="26"/>
      <c r="B68" s="54">
        <v>5.0999999999999996</v>
      </c>
      <c r="C68" s="54">
        <v>104.5</v>
      </c>
      <c r="D68" s="51">
        <f>ROUND(27319.74*1.03,2)</f>
        <v>28139.33</v>
      </c>
      <c r="E68" s="51">
        <f>ROUND(34350.46*1.03,2)</f>
        <v>35380.97</v>
      </c>
      <c r="F68" s="51">
        <f t="shared" si="4"/>
        <v>269275.88516746415</v>
      </c>
      <c r="G68" s="51">
        <f t="shared" si="5"/>
        <v>338573.87559808616</v>
      </c>
    </row>
    <row r="69" spans="1:7" s="13" customFormat="1" x14ac:dyDescent="0.2">
      <c r="A69" s="26"/>
      <c r="B69" s="54">
        <v>5.5</v>
      </c>
      <c r="C69" s="54">
        <v>122.5</v>
      </c>
      <c r="D69" s="51">
        <f>ROUND(31426.31*1.03,2)</f>
        <v>32369.1</v>
      </c>
      <c r="E69" s="51">
        <f>ROUND(39597.14*1.03,2)</f>
        <v>40785.050000000003</v>
      </c>
      <c r="F69" s="51">
        <f t="shared" ref="F69" si="6">D69/C69*1000</f>
        <v>264237.55102040817</v>
      </c>
      <c r="G69" s="51">
        <f t="shared" ref="G69" si="7">E69/C69*1000</f>
        <v>332939.18367346941</v>
      </c>
    </row>
    <row r="70" spans="1:7" s="13" customFormat="1" x14ac:dyDescent="0.2">
      <c r="A70" s="26"/>
      <c r="B70" s="54">
        <v>5.9</v>
      </c>
      <c r="C70" s="54">
        <v>142.5</v>
      </c>
      <c r="D70" s="51">
        <f>ROUND(33997.39*1.03,2)</f>
        <v>35017.31</v>
      </c>
      <c r="E70" s="51">
        <f>ROUND(42731.64*1.03,2)</f>
        <v>44013.59</v>
      </c>
      <c r="F70" s="51">
        <f t="shared" si="4"/>
        <v>245735.5087719298</v>
      </c>
      <c r="G70" s="51">
        <f t="shared" si="5"/>
        <v>308867.29824561399</v>
      </c>
    </row>
    <row r="71" spans="1:7" s="13" customFormat="1" x14ac:dyDescent="0.2">
      <c r="A71" s="26"/>
      <c r="B71" s="54">
        <v>6.4</v>
      </c>
      <c r="C71" s="54">
        <v>163</v>
      </c>
      <c r="D71" s="51">
        <f>ROUND(36590.79*1.03,2)</f>
        <v>37688.51</v>
      </c>
      <c r="E71" s="51">
        <f>ROUND(46024.39*1.03,2)</f>
        <v>47405.120000000003</v>
      </c>
      <c r="F71" s="51">
        <f t="shared" si="4"/>
        <v>231217.85276073622</v>
      </c>
      <c r="G71" s="51">
        <f t="shared" si="5"/>
        <v>290828.95705521473</v>
      </c>
    </row>
    <row r="72" spans="1:7" s="13" customFormat="1" x14ac:dyDescent="0.2">
      <c r="A72" s="26"/>
      <c r="B72" s="54">
        <v>7.2</v>
      </c>
      <c r="C72" s="54">
        <v>209.5</v>
      </c>
      <c r="D72" s="51">
        <f>ROUND(43070.3*1.03,2)</f>
        <v>44362.41</v>
      </c>
      <c r="E72" s="51">
        <f>ROUND(51581.35*1.03,2)</f>
        <v>53128.79</v>
      </c>
      <c r="F72" s="51">
        <f t="shared" si="4"/>
        <v>211753.74701670645</v>
      </c>
      <c r="G72" s="51">
        <f t="shared" si="5"/>
        <v>253598.0429594272</v>
      </c>
    </row>
    <row r="73" spans="1:7" s="13" customFormat="1" x14ac:dyDescent="0.2">
      <c r="A73" s="26"/>
      <c r="B73" s="54">
        <v>8</v>
      </c>
      <c r="C73" s="54">
        <v>261.5</v>
      </c>
      <c r="D73" s="51">
        <f>ROUND(52895.47*1.03,2)</f>
        <v>54482.33</v>
      </c>
      <c r="E73" s="51">
        <f>ROUND(63375.05*1.03,2)</f>
        <v>65276.3</v>
      </c>
      <c r="F73" s="51">
        <f t="shared" si="4"/>
        <v>208345.43021032505</v>
      </c>
      <c r="G73" s="51">
        <f t="shared" si="5"/>
        <v>249622.56214149142</v>
      </c>
    </row>
    <row r="74" spans="1:7" s="13" customFormat="1" x14ac:dyDescent="0.2">
      <c r="A74" s="26"/>
      <c r="B74" s="54">
        <v>8.6</v>
      </c>
      <c r="C74" s="54">
        <v>291</v>
      </c>
      <c r="D74" s="51">
        <f>ROUND(53455.4*1.03,2)</f>
        <v>55059.06</v>
      </c>
      <c r="E74" s="51">
        <f>ROUND(64072.17*1.03,2)</f>
        <v>65994.34</v>
      </c>
      <c r="F74" s="51">
        <f t="shared" si="4"/>
        <v>189206.3917525773</v>
      </c>
      <c r="G74" s="51">
        <f t="shared" si="5"/>
        <v>226784.67353951887</v>
      </c>
    </row>
    <row r="75" spans="1:7" s="13" customFormat="1" x14ac:dyDescent="0.2">
      <c r="A75" s="26"/>
      <c r="B75" s="54">
        <v>10.5</v>
      </c>
      <c r="C75" s="54">
        <v>454</v>
      </c>
      <c r="D75" s="51">
        <f>ROUND(80592.89*1.03,2)</f>
        <v>83010.679999999993</v>
      </c>
      <c r="E75" s="51">
        <f>ROUND(96626.47*1.03,2)</f>
        <v>99525.26</v>
      </c>
      <c r="F75" s="51">
        <f t="shared" si="4"/>
        <v>182842.90748898679</v>
      </c>
      <c r="G75" s="51">
        <f t="shared" si="5"/>
        <v>219218.63436123345</v>
      </c>
    </row>
    <row r="76" spans="1:7" s="13" customFormat="1" x14ac:dyDescent="0.2">
      <c r="A76" s="26"/>
      <c r="B76" s="247">
        <v>13</v>
      </c>
      <c r="C76" s="247">
        <v>652.5</v>
      </c>
      <c r="D76" s="72">
        <f>ROUND(98675.74*1.03,2)</f>
        <v>101636.01</v>
      </c>
      <c r="E76" s="72">
        <f>ROUND(124208.23*1.03,2)</f>
        <v>127934.48</v>
      </c>
      <c r="F76" s="72">
        <f t="shared" si="4"/>
        <v>155763.99999999997</v>
      </c>
      <c r="G76" s="72">
        <f t="shared" si="5"/>
        <v>196068.16858237548</v>
      </c>
    </row>
    <row r="77" spans="1:7" s="13" customFormat="1" x14ac:dyDescent="0.2">
      <c r="A77" s="8"/>
      <c r="B77" s="17"/>
      <c r="C77" s="18"/>
      <c r="D77" s="18"/>
      <c r="E77" s="18"/>
      <c r="F77" s="18"/>
      <c r="G77" s="18"/>
    </row>
  </sheetData>
  <mergeCells count="3">
    <mergeCell ref="F2:G3"/>
    <mergeCell ref="F63:G64"/>
    <mergeCell ref="F38:G39"/>
  </mergeCells>
  <phoneticPr fontId="0" type="noConversion"/>
  <hyperlinks>
    <hyperlink ref="H1" location="'2'!A1" display="Оглавление"/>
  </hyperlinks>
  <printOptions horizontalCentered="1"/>
  <pageMargins left="0.78740157480314965" right="0.78740157480314965" top="0.39370078740157483" bottom="0.23622047244094491" header="0.15748031496062992" footer="0.23622047244094491"/>
  <pageSetup paperSize="9" scale="77" orientation="portrait" r:id="rId1"/>
  <headerFooter alignWithMargins="0">
    <oddHeader>&amp;A</oddHeader>
  </headerFooter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J68"/>
  <sheetViews>
    <sheetView showGridLines="0" showRowColHeaders="0" view="pageBreakPreview" topLeftCell="A19" zoomScaleNormal="75" zoomScaleSheetLayoutView="100" workbookViewId="0">
      <selection activeCell="B1" sqref="B1"/>
    </sheetView>
  </sheetViews>
  <sheetFormatPr defaultColWidth="8.85546875" defaultRowHeight="12.75" x14ac:dyDescent="0.2"/>
  <cols>
    <col min="1" max="1" width="9.7109375" style="8" customWidth="1"/>
    <col min="2" max="3" width="9.7109375" style="3" customWidth="1"/>
    <col min="4" max="7" width="12.7109375" style="3" customWidth="1"/>
    <col min="8" max="8" width="9.5703125" style="3" bestFit="1" customWidth="1"/>
    <col min="9" max="9" width="10" style="3" bestFit="1" customWidth="1"/>
    <col min="10" max="16384" width="8.85546875" style="3"/>
  </cols>
  <sheetData>
    <row r="1" spans="1:10" x14ac:dyDescent="0.2">
      <c r="G1" s="145">
        <v>43435</v>
      </c>
      <c r="H1" s="10" t="s">
        <v>114</v>
      </c>
    </row>
    <row r="2" spans="1:10" x14ac:dyDescent="0.2">
      <c r="B2" s="261" t="s">
        <v>19</v>
      </c>
      <c r="C2" s="262"/>
      <c r="D2" s="262"/>
      <c r="E2" s="263"/>
      <c r="F2" s="436" t="s">
        <v>18</v>
      </c>
      <c r="G2" s="436"/>
    </row>
    <row r="3" spans="1:10" x14ac:dyDescent="0.2">
      <c r="B3" s="264" t="s">
        <v>20</v>
      </c>
      <c r="C3" s="265"/>
      <c r="D3" s="265"/>
      <c r="E3" s="266"/>
      <c r="F3" s="436"/>
      <c r="G3" s="436"/>
    </row>
    <row r="4" spans="1:10" ht="24.95" customHeight="1" x14ac:dyDescent="0.2">
      <c r="B4" s="267"/>
      <c r="C4" s="267"/>
      <c r="D4" s="182" t="s">
        <v>197</v>
      </c>
      <c r="E4" s="183"/>
      <c r="F4" s="182" t="s">
        <v>198</v>
      </c>
      <c r="G4" s="183"/>
    </row>
    <row r="5" spans="1:10" x14ac:dyDescent="0.2">
      <c r="A5" s="26"/>
      <c r="B5" s="246" t="s">
        <v>196</v>
      </c>
      <c r="C5" s="246" t="s">
        <v>195</v>
      </c>
      <c r="D5" s="244" t="s">
        <v>191</v>
      </c>
      <c r="E5" s="245" t="s">
        <v>192</v>
      </c>
      <c r="F5" s="244" t="s">
        <v>193</v>
      </c>
      <c r="G5" s="245" t="s">
        <v>194</v>
      </c>
    </row>
    <row r="6" spans="1:10" ht="15" customHeight="1" x14ac:dyDescent="0.2">
      <c r="A6" s="32"/>
      <c r="B6" s="50">
        <v>2.2000000000000002</v>
      </c>
      <c r="C6" s="50">
        <v>16.2</v>
      </c>
      <c r="D6" s="51">
        <f>ROUND(11376.18*1.03,2)</f>
        <v>11717.47</v>
      </c>
      <c r="E6" s="51">
        <f>ROUND(14746.42*1.03,2)</f>
        <v>15188.81</v>
      </c>
      <c r="F6" s="51">
        <f t="shared" ref="F6:F33" si="0">D6/C6*1000</f>
        <v>723300.61728395056</v>
      </c>
      <c r="G6" s="51">
        <f t="shared" ref="G6:G33" si="1">E6/C6*1000</f>
        <v>937580.8641975309</v>
      </c>
      <c r="H6" s="8"/>
      <c r="I6" s="8"/>
      <c r="J6" s="8"/>
    </row>
    <row r="7" spans="1:10" ht="15" customHeight="1" x14ac:dyDescent="0.2">
      <c r="B7" s="50">
        <v>2.2999999999999998</v>
      </c>
      <c r="C7" s="50">
        <v>19.100000000000001</v>
      </c>
      <c r="D7" s="51">
        <f>ROUND(11674.66*1.03,2)</f>
        <v>12024.9</v>
      </c>
      <c r="E7" s="51">
        <f>ROUND(15196.65*1.03,2)</f>
        <v>15652.55</v>
      </c>
      <c r="F7" s="51">
        <f t="shared" si="0"/>
        <v>629575.91623036633</v>
      </c>
      <c r="G7" s="51">
        <f t="shared" si="1"/>
        <v>819505.23560209409</v>
      </c>
      <c r="H7" s="8"/>
      <c r="I7" s="8"/>
      <c r="J7" s="8"/>
    </row>
    <row r="8" spans="1:10" ht="15" customHeight="1" x14ac:dyDescent="0.2">
      <c r="A8" s="32"/>
      <c r="B8" s="50">
        <v>2.5</v>
      </c>
      <c r="C8" s="50">
        <v>22.4</v>
      </c>
      <c r="D8" s="51">
        <f>ROUND(11967.43*1.03,2)</f>
        <v>12326.45</v>
      </c>
      <c r="E8" s="51">
        <f>ROUND(15500.74*1.03,2)</f>
        <v>15965.76</v>
      </c>
      <c r="F8" s="51">
        <f t="shared" si="0"/>
        <v>550287.94642857148</v>
      </c>
      <c r="G8" s="51">
        <f t="shared" si="1"/>
        <v>712757.14285714284</v>
      </c>
      <c r="H8" s="8"/>
      <c r="I8" s="8"/>
      <c r="J8" s="8"/>
    </row>
    <row r="9" spans="1:10" ht="15" customHeight="1" x14ac:dyDescent="0.2">
      <c r="A9" s="32"/>
      <c r="B9" s="50">
        <v>2.7</v>
      </c>
      <c r="C9" s="50">
        <v>26</v>
      </c>
      <c r="D9" s="51">
        <f>ROUND(12260.17*1.03,2)</f>
        <v>12627.98</v>
      </c>
      <c r="E9" s="51">
        <f>ROUND(15950.95*1.03,2)</f>
        <v>16429.48</v>
      </c>
      <c r="F9" s="51">
        <f t="shared" si="0"/>
        <v>485691.5384615385</v>
      </c>
      <c r="G9" s="51">
        <f t="shared" si="1"/>
        <v>631903.07692307688</v>
      </c>
      <c r="H9" s="8"/>
      <c r="I9" s="8"/>
      <c r="J9" s="8"/>
    </row>
    <row r="10" spans="1:10" ht="15" customHeight="1" x14ac:dyDescent="0.2">
      <c r="A10" s="32"/>
      <c r="B10" s="50">
        <v>2.9</v>
      </c>
      <c r="C10" s="50">
        <v>29.8</v>
      </c>
      <c r="D10" s="51">
        <f>ROUND(12633.18*1.03,2)</f>
        <v>13012.18</v>
      </c>
      <c r="E10" s="51">
        <f>ROUND(16407.02*1.03,2)</f>
        <v>16899.23</v>
      </c>
      <c r="F10" s="51">
        <f t="shared" si="0"/>
        <v>436650.33557046979</v>
      </c>
      <c r="G10" s="51">
        <f t="shared" si="1"/>
        <v>567088.25503355707</v>
      </c>
      <c r="H10" s="8"/>
      <c r="I10" s="8"/>
      <c r="J10" s="8"/>
    </row>
    <row r="11" spans="1:10" ht="15" customHeight="1" x14ac:dyDescent="0.2">
      <c r="A11" s="32"/>
      <c r="B11" s="50">
        <v>3.3</v>
      </c>
      <c r="C11" s="50">
        <v>38.200000000000003</v>
      </c>
      <c r="D11" s="51">
        <f>ROUND(13373.68*1.03,2)</f>
        <v>13774.89</v>
      </c>
      <c r="E11" s="51">
        <f>ROUND(17383.47*1.03,2)</f>
        <v>17904.97</v>
      </c>
      <c r="F11" s="51">
        <f t="shared" si="0"/>
        <v>360599.21465968579</v>
      </c>
      <c r="G11" s="51">
        <f t="shared" si="1"/>
        <v>468716.49214659684</v>
      </c>
      <c r="H11" s="8"/>
      <c r="I11" s="8"/>
      <c r="J11" s="8"/>
    </row>
    <row r="12" spans="1:10" ht="15" customHeight="1" x14ac:dyDescent="0.2">
      <c r="A12" s="32"/>
      <c r="B12" s="50">
        <v>3.7</v>
      </c>
      <c r="C12" s="50">
        <v>47.7</v>
      </c>
      <c r="D12" s="51">
        <f>ROUND(14114.09*1.03,2)</f>
        <v>14537.51</v>
      </c>
      <c r="E12" s="51">
        <f>ROUND(18587.95*1.03,2)</f>
        <v>19145.59</v>
      </c>
      <c r="F12" s="51">
        <f t="shared" si="0"/>
        <v>304769.60167714884</v>
      </c>
      <c r="G12" s="51">
        <f t="shared" si="1"/>
        <v>401375.05241090147</v>
      </c>
      <c r="H12" s="8"/>
      <c r="I12" s="8"/>
      <c r="J12" s="8"/>
    </row>
    <row r="13" spans="1:10" ht="15" customHeight="1" x14ac:dyDescent="0.2">
      <c r="A13" s="32"/>
      <c r="B13" s="50">
        <v>4</v>
      </c>
      <c r="C13" s="50">
        <v>54</v>
      </c>
      <c r="D13" s="51">
        <f>ROUND(14630.69*1.03,2)</f>
        <v>15069.61</v>
      </c>
      <c r="E13" s="51">
        <f>ROUND(19342.25*1.03,2)</f>
        <v>19922.52</v>
      </c>
      <c r="F13" s="51">
        <f t="shared" si="0"/>
        <v>279066.85185185185</v>
      </c>
      <c r="G13" s="51">
        <f t="shared" si="1"/>
        <v>368935.55555555556</v>
      </c>
      <c r="H13" s="8"/>
      <c r="I13" s="8"/>
      <c r="J13" s="8"/>
    </row>
    <row r="14" spans="1:10" ht="15" customHeight="1" x14ac:dyDescent="0.2">
      <c r="A14" s="32"/>
      <c r="B14" s="50">
        <v>4.9000000000000004</v>
      </c>
      <c r="C14" s="50">
        <v>83.7</v>
      </c>
      <c r="D14" s="51">
        <f>ROUND(17499.4*1.03,2)</f>
        <v>18024.38</v>
      </c>
      <c r="E14" s="51">
        <f>ROUND(23471.19*1.03,2)</f>
        <v>24175.33</v>
      </c>
      <c r="F14" s="51">
        <f t="shared" si="0"/>
        <v>215345.04181600956</v>
      </c>
      <c r="G14" s="51">
        <f t="shared" si="1"/>
        <v>288833.09438470728</v>
      </c>
      <c r="H14" s="8"/>
      <c r="I14" s="8"/>
      <c r="J14" s="8"/>
    </row>
    <row r="15" spans="1:10" ht="15" customHeight="1" x14ac:dyDescent="0.2">
      <c r="B15" s="50">
        <v>5.9</v>
      </c>
      <c r="C15" s="50">
        <v>120</v>
      </c>
      <c r="D15" s="51">
        <f>ROUND(20822.44*1.03,2)</f>
        <v>21447.11</v>
      </c>
      <c r="E15" s="51">
        <f>ROUND(26956.93*1.03,2)</f>
        <v>27765.64</v>
      </c>
      <c r="F15" s="51">
        <f t="shared" si="0"/>
        <v>178725.91666666669</v>
      </c>
      <c r="G15" s="51">
        <f t="shared" si="1"/>
        <v>231380.33333333334</v>
      </c>
      <c r="H15" s="8"/>
      <c r="I15" s="8"/>
      <c r="J15" s="8"/>
    </row>
    <row r="16" spans="1:10" ht="15" customHeight="1" x14ac:dyDescent="0.2">
      <c r="A16" s="32"/>
      <c r="B16" s="50">
        <v>6.8</v>
      </c>
      <c r="C16" s="50">
        <v>162.5</v>
      </c>
      <c r="D16" s="51">
        <f>ROUND(24034.3*1.03,2)</f>
        <v>24755.33</v>
      </c>
      <c r="E16" s="51">
        <f>ROUND(31134*1.03,2)</f>
        <v>32068.02</v>
      </c>
      <c r="F16" s="51">
        <f t="shared" si="0"/>
        <v>152340.49230769233</v>
      </c>
      <c r="G16" s="51">
        <f t="shared" si="1"/>
        <v>197341.66153846154</v>
      </c>
      <c r="H16" s="8"/>
      <c r="I16" s="8"/>
      <c r="J16" s="8"/>
    </row>
    <row r="17" spans="1:10" ht="15" customHeight="1" x14ac:dyDescent="0.2">
      <c r="A17" s="32"/>
      <c r="B17" s="50">
        <v>7.8</v>
      </c>
      <c r="C17" s="50">
        <v>212</v>
      </c>
      <c r="D17" s="51">
        <f>ROUND(30165.93*1.03,2)</f>
        <v>31070.91</v>
      </c>
      <c r="E17" s="51">
        <f>ROUND(39060.98*1.03,2)</f>
        <v>40232.81</v>
      </c>
      <c r="F17" s="51">
        <f t="shared" si="0"/>
        <v>146560.89622641509</v>
      </c>
      <c r="G17" s="51">
        <f t="shared" si="1"/>
        <v>189777.40566037735</v>
      </c>
      <c r="H17" s="8"/>
      <c r="I17" s="8"/>
      <c r="J17" s="8"/>
    </row>
    <row r="18" spans="1:10" ht="15" customHeight="1" x14ac:dyDescent="0.2">
      <c r="A18" s="32"/>
      <c r="B18" s="50">
        <v>8.6999999999999993</v>
      </c>
      <c r="C18" s="50">
        <v>267.5</v>
      </c>
      <c r="D18" s="51">
        <f>ROUND(35049.08*1.03,2)</f>
        <v>36100.550000000003</v>
      </c>
      <c r="E18" s="51">
        <f>ROUND(45396.55*1.03,2)</f>
        <v>46758.45</v>
      </c>
      <c r="F18" s="51">
        <f t="shared" si="0"/>
        <v>134955.32710280374</v>
      </c>
      <c r="G18" s="51">
        <f t="shared" si="1"/>
        <v>174797.94392523362</v>
      </c>
      <c r="H18" s="8"/>
      <c r="I18" s="8"/>
      <c r="J18" s="8"/>
    </row>
    <row r="19" spans="1:10" ht="15" customHeight="1" x14ac:dyDescent="0.2">
      <c r="A19" s="32"/>
      <c r="B19" s="50">
        <v>9.6999999999999993</v>
      </c>
      <c r="C19" s="50">
        <v>335</v>
      </c>
      <c r="D19" s="51">
        <f>ROUND(37791.91*1.03,2)</f>
        <v>38925.67</v>
      </c>
      <c r="E19" s="51">
        <f>ROUND(51394.55*1.03,2)</f>
        <v>52936.39</v>
      </c>
      <c r="F19" s="51">
        <f t="shared" si="0"/>
        <v>116196.02985074626</v>
      </c>
      <c r="G19" s="51">
        <f t="shared" si="1"/>
        <v>158019.07462686565</v>
      </c>
      <c r="H19" s="8"/>
      <c r="I19" s="8"/>
      <c r="J19" s="8"/>
    </row>
    <row r="20" spans="1:10" ht="15" customHeight="1" x14ac:dyDescent="0.2">
      <c r="A20" s="32"/>
      <c r="B20" s="50">
        <v>10.5</v>
      </c>
      <c r="C20" s="50">
        <v>404</v>
      </c>
      <c r="D20" s="51">
        <f>ROUND(41925.03*1.03,2)</f>
        <v>43182.78</v>
      </c>
      <c r="E20" s="51">
        <f>ROUND(57005.76*1.03,2)</f>
        <v>58715.93</v>
      </c>
      <c r="F20" s="51">
        <f t="shared" si="0"/>
        <v>106888.06930693069</v>
      </c>
      <c r="G20" s="51">
        <f t="shared" si="1"/>
        <v>145336.46039603959</v>
      </c>
      <c r="H20" s="8"/>
      <c r="I20" s="8"/>
      <c r="J20" s="8"/>
    </row>
    <row r="21" spans="1:10" ht="15" customHeight="1" x14ac:dyDescent="0.2">
      <c r="A21" s="32"/>
      <c r="B21" s="50">
        <v>11.5</v>
      </c>
      <c r="C21" s="50">
        <v>479</v>
      </c>
      <c r="D21" s="51">
        <f>ROUND(45751.54*1.03,2)</f>
        <v>47124.09</v>
      </c>
      <c r="E21" s="51">
        <f>ROUND(62224.5*1.03,2)</f>
        <v>64091.24</v>
      </c>
      <c r="F21" s="51">
        <f t="shared" si="0"/>
        <v>98380.146137787058</v>
      </c>
      <c r="G21" s="51">
        <f t="shared" si="1"/>
        <v>133802.1711899791</v>
      </c>
      <c r="H21" s="8"/>
      <c r="I21" s="8"/>
      <c r="J21" s="8"/>
    </row>
    <row r="22" spans="1:10" ht="15" customHeight="1" x14ac:dyDescent="0.2">
      <c r="A22" s="32"/>
      <c r="B22" s="50">
        <v>12.5</v>
      </c>
      <c r="C22" s="50">
        <v>562</v>
      </c>
      <c r="D22" s="51">
        <f>ROUND(57701.87*1.03,2)</f>
        <v>59432.93</v>
      </c>
      <c r="E22" s="51">
        <f>ROUND(78438.29*1.03,2)</f>
        <v>80791.44</v>
      </c>
      <c r="F22" s="51">
        <f t="shared" si="0"/>
        <v>105752.54448398577</v>
      </c>
      <c r="G22" s="51">
        <f t="shared" si="1"/>
        <v>143757.01067615658</v>
      </c>
      <c r="H22" s="8"/>
      <c r="I22" s="8"/>
      <c r="J22" s="8"/>
    </row>
    <row r="23" spans="1:10" ht="15" customHeight="1" x14ac:dyDescent="0.2">
      <c r="A23" s="32"/>
      <c r="B23" s="50">
        <v>13.5</v>
      </c>
      <c r="C23" s="50">
        <v>650.5</v>
      </c>
      <c r="D23" s="51">
        <f>ROUND(65388.22*1.03,2)</f>
        <v>67349.87</v>
      </c>
      <c r="E23" s="51">
        <f>ROUND(88900.77*1.03,2)</f>
        <v>91567.79</v>
      </c>
      <c r="F23" s="51">
        <f t="shared" si="0"/>
        <v>103535.54189085319</v>
      </c>
      <c r="G23" s="51">
        <f t="shared" si="1"/>
        <v>140765.24212144502</v>
      </c>
      <c r="H23" s="8"/>
      <c r="I23" s="8"/>
      <c r="J23" s="8"/>
    </row>
    <row r="24" spans="1:10" ht="15" customHeight="1" x14ac:dyDescent="0.2">
      <c r="A24" s="32"/>
      <c r="B24" s="50">
        <v>14.5</v>
      </c>
      <c r="C24" s="50">
        <v>745.5</v>
      </c>
      <c r="D24" s="51">
        <f>ROUND(77105.68*1.03,2)</f>
        <v>79418.850000000006</v>
      </c>
      <c r="E24" s="51">
        <f>ROUND(104833.05*1.03,2)</f>
        <v>107978.04</v>
      </c>
      <c r="F24" s="51">
        <f t="shared" si="0"/>
        <v>106530.98591549296</v>
      </c>
      <c r="G24" s="51">
        <f t="shared" si="1"/>
        <v>144839.75855130787</v>
      </c>
      <c r="H24" s="8"/>
      <c r="I24" s="8"/>
      <c r="J24" s="8"/>
    </row>
    <row r="25" spans="1:10" ht="15" customHeight="1" x14ac:dyDescent="0.2">
      <c r="A25" s="32"/>
      <c r="B25" s="50">
        <v>15.5</v>
      </c>
      <c r="C25" s="50">
        <v>847.5</v>
      </c>
      <c r="D25" s="51">
        <f>ROUND(87101.85*1.03,2)</f>
        <v>89714.91</v>
      </c>
      <c r="E25" s="51">
        <f>ROUND(118432.43*1.03,2)</f>
        <v>121985.4</v>
      </c>
      <c r="F25" s="51">
        <f t="shared" si="0"/>
        <v>105858.30088495575</v>
      </c>
      <c r="G25" s="51">
        <f t="shared" si="1"/>
        <v>143935.57522123895</v>
      </c>
      <c r="H25" s="8"/>
      <c r="I25" s="8"/>
      <c r="J25" s="8"/>
    </row>
    <row r="26" spans="1:10" ht="15" customHeight="1" x14ac:dyDescent="0.2">
      <c r="A26" s="32"/>
      <c r="B26" s="50">
        <v>16.5</v>
      </c>
      <c r="C26" s="50">
        <v>955.5</v>
      </c>
      <c r="D26" s="51">
        <f>ROUND(93955.97*1.03,2)</f>
        <v>96774.65</v>
      </c>
      <c r="E26" s="51">
        <f>ROUND(127780.74*1.03,2)</f>
        <v>131614.16</v>
      </c>
      <c r="F26" s="51">
        <f t="shared" si="0"/>
        <v>101281.68498168497</v>
      </c>
      <c r="G26" s="51">
        <f t="shared" si="1"/>
        <v>137743.75719518575</v>
      </c>
      <c r="H26" s="8"/>
      <c r="I26" s="8"/>
      <c r="J26" s="8"/>
    </row>
    <row r="27" spans="1:10" ht="15" customHeight="1" x14ac:dyDescent="0.2">
      <c r="A27" s="32"/>
      <c r="B27" s="50">
        <v>17.5</v>
      </c>
      <c r="C27" s="50">
        <v>1070</v>
      </c>
      <c r="D27" s="51">
        <f>ROUND(104390.89*1.03,2)</f>
        <v>107522.62</v>
      </c>
      <c r="E27" s="51">
        <f>ROUND(141995.05*1.03,2)</f>
        <v>146254.9</v>
      </c>
      <c r="F27" s="51">
        <f t="shared" si="0"/>
        <v>100488.42990654205</v>
      </c>
      <c r="G27" s="51">
        <f t="shared" si="1"/>
        <v>136686.82242990652</v>
      </c>
      <c r="H27" s="8"/>
      <c r="I27" s="8"/>
      <c r="J27" s="8"/>
    </row>
    <row r="28" spans="1:10" ht="15" customHeight="1" x14ac:dyDescent="0.2">
      <c r="A28" s="32"/>
      <c r="B28" s="50">
        <v>19.5</v>
      </c>
      <c r="C28" s="50">
        <v>1335</v>
      </c>
      <c r="D28" s="51">
        <f>ROUND(127873.52*1.03,2)</f>
        <v>131709.73000000001</v>
      </c>
      <c r="E28" s="51">
        <f>ROUND(173919.04*1.03,2)</f>
        <v>179136.61</v>
      </c>
      <c r="F28" s="51">
        <f t="shared" si="0"/>
        <v>98658.973782771543</v>
      </c>
      <c r="G28" s="51">
        <f t="shared" si="1"/>
        <v>134184.72659176029</v>
      </c>
      <c r="H28" s="8"/>
      <c r="I28" s="8"/>
      <c r="J28" s="8"/>
    </row>
    <row r="29" spans="1:10" ht="15" customHeight="1" x14ac:dyDescent="0.2">
      <c r="A29" s="32"/>
      <c r="B29" s="50">
        <v>21</v>
      </c>
      <c r="C29" s="50">
        <v>1615</v>
      </c>
      <c r="D29" s="51">
        <f>ROUND(146115.58*1.03,2)</f>
        <v>150499.04999999999</v>
      </c>
      <c r="E29" s="51">
        <f>ROUND(198739.66*1.03,2)</f>
        <v>204701.85</v>
      </c>
      <c r="F29" s="51">
        <f t="shared" si="0"/>
        <v>93188.266253869951</v>
      </c>
      <c r="G29" s="51">
        <f t="shared" si="1"/>
        <v>126750.37151702787</v>
      </c>
      <c r="H29" s="8"/>
      <c r="I29" s="8"/>
      <c r="J29" s="8"/>
    </row>
    <row r="30" spans="1:10" ht="15" customHeight="1" x14ac:dyDescent="0.2">
      <c r="A30" s="32"/>
      <c r="B30" s="50">
        <v>23</v>
      </c>
      <c r="C30" s="50">
        <v>1915</v>
      </c>
      <c r="D30" s="51">
        <f>ROUND(172264.89*1.03,2)</f>
        <v>177432.84</v>
      </c>
      <c r="E30" s="51">
        <f>ROUND(234313.17*1.03,2)</f>
        <v>241342.57</v>
      </c>
      <c r="F30" s="51">
        <f t="shared" si="0"/>
        <v>92654.224543080942</v>
      </c>
      <c r="G30" s="51">
        <f t="shared" si="1"/>
        <v>126027.45169712794</v>
      </c>
      <c r="H30" s="8"/>
      <c r="I30" s="8"/>
      <c r="J30" s="8"/>
    </row>
    <row r="31" spans="1:10" ht="15" customHeight="1" x14ac:dyDescent="0.2">
      <c r="A31" s="32"/>
      <c r="B31" s="50">
        <v>25.5</v>
      </c>
      <c r="C31" s="50">
        <v>2250</v>
      </c>
      <c r="D31" s="51">
        <f>ROUND(216515.55*1.03,2)</f>
        <v>223011.02</v>
      </c>
      <c r="E31" s="51">
        <f>ROUND(294373.79*1.03,2)</f>
        <v>303205</v>
      </c>
      <c r="F31" s="51">
        <f t="shared" si="0"/>
        <v>99116.008888888886</v>
      </c>
      <c r="G31" s="51">
        <f t="shared" si="1"/>
        <v>134757.77777777778</v>
      </c>
      <c r="H31" s="8"/>
      <c r="I31" s="8"/>
      <c r="J31" s="8"/>
    </row>
    <row r="32" spans="1:10" ht="15" customHeight="1" x14ac:dyDescent="0.2">
      <c r="A32" s="32"/>
      <c r="B32" s="50">
        <v>27</v>
      </c>
      <c r="C32" s="50">
        <v>2605</v>
      </c>
      <c r="D32" s="51">
        <f>ROUND(233548.25*1.03,2)</f>
        <v>240554.7</v>
      </c>
      <c r="E32" s="51">
        <f>ROUND(317656.23*1.03,2)</f>
        <v>327185.91999999998</v>
      </c>
      <c r="F32" s="51">
        <f t="shared" si="0"/>
        <v>92343.454894433788</v>
      </c>
      <c r="G32" s="51">
        <f t="shared" si="1"/>
        <v>125599.20153550863</v>
      </c>
      <c r="H32" s="8"/>
      <c r="I32" s="8"/>
      <c r="J32" s="8"/>
    </row>
    <row r="33" spans="1:10" ht="15" customHeight="1" x14ac:dyDescent="0.2">
      <c r="A33" s="32"/>
      <c r="B33" s="76">
        <v>29</v>
      </c>
      <c r="C33" s="76">
        <v>2985</v>
      </c>
      <c r="D33" s="72">
        <f>ROUND(266846.67*1.03,2)</f>
        <v>274852.07</v>
      </c>
      <c r="E33" s="72">
        <f>ROUND(362782.7*1.03,2)</f>
        <v>373666.18</v>
      </c>
      <c r="F33" s="72">
        <f t="shared" si="0"/>
        <v>92077.745393634847</v>
      </c>
      <c r="G33" s="72">
        <f t="shared" si="1"/>
        <v>125181.29983249582</v>
      </c>
      <c r="H33" s="8"/>
      <c r="I33" s="8"/>
      <c r="J33" s="8"/>
    </row>
    <row r="34" spans="1:10" ht="15" customHeight="1" x14ac:dyDescent="0.2">
      <c r="A34" s="32"/>
      <c r="B34" s="6"/>
      <c r="C34" s="6"/>
      <c r="D34" s="7"/>
      <c r="E34" s="7"/>
      <c r="F34" s="7"/>
      <c r="G34" s="7"/>
      <c r="H34" s="8"/>
      <c r="I34" s="8"/>
      <c r="J34" s="8"/>
    </row>
    <row r="35" spans="1:10" ht="15" customHeight="1" x14ac:dyDescent="0.2">
      <c r="A35" s="32"/>
      <c r="F35" s="5"/>
      <c r="G35" s="145">
        <v>43160</v>
      </c>
      <c r="H35" s="8"/>
      <c r="I35" s="8"/>
      <c r="J35" s="8"/>
    </row>
    <row r="36" spans="1:10" x14ac:dyDescent="0.2">
      <c r="A36" s="32"/>
      <c r="B36" s="406" t="s">
        <v>90</v>
      </c>
      <c r="C36" s="407"/>
      <c r="D36" s="407"/>
      <c r="E36" s="407"/>
      <c r="F36" s="436" t="s">
        <v>21</v>
      </c>
      <c r="G36" s="436"/>
      <c r="H36" s="8"/>
      <c r="I36" s="8"/>
      <c r="J36" s="8"/>
    </row>
    <row r="37" spans="1:10" x14ac:dyDescent="0.2">
      <c r="A37" s="32"/>
      <c r="B37" s="409" t="s">
        <v>22</v>
      </c>
      <c r="C37" s="410"/>
      <c r="D37" s="410"/>
      <c r="E37" s="410"/>
      <c r="F37" s="436"/>
      <c r="G37" s="436"/>
      <c r="H37" s="8"/>
      <c r="I37" s="8"/>
      <c r="J37" s="8"/>
    </row>
    <row r="38" spans="1:10" ht="24.75" customHeight="1" x14ac:dyDescent="0.2">
      <c r="A38" s="32"/>
      <c r="B38" s="267"/>
      <c r="C38" s="267"/>
      <c r="D38" s="182" t="s">
        <v>197</v>
      </c>
      <c r="E38" s="183"/>
      <c r="F38" s="182" t="s">
        <v>198</v>
      </c>
      <c r="G38" s="183"/>
      <c r="H38" s="8"/>
      <c r="I38" s="8"/>
      <c r="J38" s="8"/>
    </row>
    <row r="39" spans="1:10" x14ac:dyDescent="0.2">
      <c r="A39" s="32"/>
      <c r="B39" s="260" t="s">
        <v>196</v>
      </c>
      <c r="C39" s="260" t="s">
        <v>195</v>
      </c>
      <c r="D39" s="214" t="s">
        <v>191</v>
      </c>
      <c r="E39" s="215" t="s">
        <v>192</v>
      </c>
      <c r="F39" s="214" t="s">
        <v>193</v>
      </c>
      <c r="G39" s="215" t="s">
        <v>194</v>
      </c>
      <c r="H39" s="8"/>
      <c r="I39" s="8"/>
      <c r="J39" s="8"/>
    </row>
    <row r="40" spans="1:10" ht="15" customHeight="1" x14ac:dyDescent="0.2">
      <c r="A40" s="32"/>
      <c r="B40" s="50">
        <v>3.3</v>
      </c>
      <c r="C40" s="50">
        <v>35.5</v>
      </c>
      <c r="D40" s="51">
        <f>ROUND(19367.68*1.07,2)</f>
        <v>20723.419999999998</v>
      </c>
      <c r="E40" s="51">
        <f>ROUND(27120*1.07,2)</f>
        <v>29018.400000000001</v>
      </c>
      <c r="F40" s="51">
        <f t="shared" ref="F40:F51" si="2">D40/C40*1000</f>
        <v>583758.30985915486</v>
      </c>
      <c r="G40" s="51">
        <f t="shared" ref="G40:G51" si="3">E40/C40*1000</f>
        <v>817419.71830985916</v>
      </c>
      <c r="H40" s="8"/>
      <c r="I40" s="8"/>
      <c r="J40" s="8"/>
    </row>
    <row r="41" spans="1:10" ht="15" customHeight="1" x14ac:dyDescent="0.2">
      <c r="A41" s="32"/>
      <c r="B41" s="50">
        <v>3.6</v>
      </c>
      <c r="C41" s="50">
        <v>42.9</v>
      </c>
      <c r="D41" s="51">
        <f>ROUND(20206.05*1.07,2)</f>
        <v>21620.47</v>
      </c>
      <c r="E41" s="51">
        <f>ROUND(28293.95*1.07,2)</f>
        <v>30274.53</v>
      </c>
      <c r="F41" s="51">
        <f t="shared" si="2"/>
        <v>503973.65967365971</v>
      </c>
      <c r="G41" s="51">
        <f t="shared" si="3"/>
        <v>705700</v>
      </c>
      <c r="H41" s="8"/>
      <c r="I41" s="8"/>
      <c r="J41" s="8"/>
    </row>
    <row r="42" spans="1:10" ht="15" customHeight="1" x14ac:dyDescent="0.2">
      <c r="A42" s="32"/>
      <c r="B42" s="50">
        <v>3.9</v>
      </c>
      <c r="C42" s="50">
        <v>51</v>
      </c>
      <c r="D42" s="51">
        <f>ROUND(20865.05*1.07,2)</f>
        <v>22325.599999999999</v>
      </c>
      <c r="E42" s="51">
        <f>ROUND(29216.79*1.07,2)</f>
        <v>31261.97</v>
      </c>
      <c r="F42" s="51">
        <f t="shared" si="2"/>
        <v>437756.86274509801</v>
      </c>
      <c r="G42" s="51">
        <f t="shared" si="3"/>
        <v>612979.80392156867</v>
      </c>
      <c r="H42" s="8"/>
      <c r="I42" s="8"/>
      <c r="J42" s="8"/>
    </row>
    <row r="43" spans="1:10" ht="15" customHeight="1" x14ac:dyDescent="0.2">
      <c r="A43" s="32"/>
      <c r="B43" s="50">
        <v>4.2</v>
      </c>
      <c r="C43" s="50">
        <v>59.8</v>
      </c>
      <c r="D43" s="51">
        <f>ROUND(21537.86*1.07,2)</f>
        <v>23045.51</v>
      </c>
      <c r="E43" s="51">
        <f>ROUND(30267.23*1.07,2)</f>
        <v>32385.94</v>
      </c>
      <c r="F43" s="51">
        <f t="shared" si="2"/>
        <v>385376.42140468227</v>
      </c>
      <c r="G43" s="51">
        <f t="shared" si="3"/>
        <v>541570.90301003342</v>
      </c>
      <c r="H43" s="8"/>
      <c r="I43" s="8"/>
      <c r="J43" s="8"/>
    </row>
    <row r="44" spans="1:10" ht="15" customHeight="1" x14ac:dyDescent="0.2">
      <c r="A44" s="32"/>
      <c r="B44" s="50">
        <v>4.5</v>
      </c>
      <c r="C44" s="50">
        <v>69.3</v>
      </c>
      <c r="D44" s="51">
        <f>ROUND(22364.77*1.07,2)</f>
        <v>23930.3</v>
      </c>
      <c r="E44" s="51">
        <f>ROUND(31430*1.07,2)</f>
        <v>33630.1</v>
      </c>
      <c r="F44" s="51">
        <f t="shared" si="2"/>
        <v>345314.5743145743</v>
      </c>
      <c r="G44" s="51">
        <f t="shared" si="3"/>
        <v>485282.82828282827</v>
      </c>
      <c r="H44" s="8"/>
      <c r="I44" s="8"/>
      <c r="J44" s="8"/>
    </row>
    <row r="45" spans="1:10" ht="15" customHeight="1" x14ac:dyDescent="0.2">
      <c r="A45" s="32"/>
      <c r="B45" s="50">
        <v>4.8</v>
      </c>
      <c r="C45" s="50">
        <v>79.599999999999994</v>
      </c>
      <c r="D45" s="51">
        <f>ROUND(23192.81*1.07,2)</f>
        <v>24816.31</v>
      </c>
      <c r="E45" s="51">
        <f>ROUND(32623.48*1.07,2)</f>
        <v>34907.120000000003</v>
      </c>
      <c r="F45" s="51">
        <f t="shared" si="2"/>
        <v>311762.68844221107</v>
      </c>
      <c r="G45" s="51">
        <f t="shared" si="3"/>
        <v>438531.65829145734</v>
      </c>
      <c r="H45" s="8"/>
      <c r="I45" s="8"/>
      <c r="J45" s="8"/>
    </row>
    <row r="46" spans="1:10" ht="15" customHeight="1" x14ac:dyDescent="0.2">
      <c r="A46" s="32"/>
      <c r="B46" s="50">
        <v>5.5</v>
      </c>
      <c r="C46" s="50">
        <v>102.6</v>
      </c>
      <c r="D46" s="51">
        <f>ROUND(25115.25*1.07,2)</f>
        <v>26873.32</v>
      </c>
      <c r="E46" s="51">
        <f>ROUND(35348.01*1.07,2)</f>
        <v>37822.370000000003</v>
      </c>
      <c r="F46" s="51">
        <f t="shared" si="2"/>
        <v>261923.19688109166</v>
      </c>
      <c r="G46" s="51">
        <f t="shared" si="3"/>
        <v>368639.08382066281</v>
      </c>
      <c r="H46" s="8"/>
      <c r="I46" s="8"/>
      <c r="J46" s="8"/>
    </row>
    <row r="47" spans="1:10" ht="15" customHeight="1" x14ac:dyDescent="0.2">
      <c r="A47" s="32"/>
      <c r="B47" s="50">
        <v>5.8</v>
      </c>
      <c r="C47" s="50">
        <v>114.5</v>
      </c>
      <c r="D47" s="51">
        <f>ROUND(27205.3*1.07,2)</f>
        <v>29109.67</v>
      </c>
      <c r="E47" s="51">
        <f>ROUND(38389.84*1.07,2)</f>
        <v>41077.129999999997</v>
      </c>
      <c r="F47" s="51">
        <f t="shared" si="2"/>
        <v>254232.92576419213</v>
      </c>
      <c r="G47" s="51">
        <f t="shared" si="3"/>
        <v>358752.22707423579</v>
      </c>
      <c r="H47" s="8"/>
      <c r="I47" s="8"/>
      <c r="J47" s="8"/>
    </row>
    <row r="48" spans="1:10" ht="15" customHeight="1" x14ac:dyDescent="0.2">
      <c r="A48" s="32"/>
      <c r="B48" s="50">
        <v>6.5</v>
      </c>
      <c r="C48" s="50">
        <v>142.5</v>
      </c>
      <c r="D48" s="51">
        <f>ROUND(30684.99*1.07,2)</f>
        <v>32832.94</v>
      </c>
      <c r="E48" s="51">
        <f>ROUND(41096.81*1.07,2)</f>
        <v>43973.59</v>
      </c>
      <c r="F48" s="51">
        <f t="shared" si="2"/>
        <v>230406.59649122809</v>
      </c>
      <c r="G48" s="51">
        <f t="shared" si="3"/>
        <v>308586.59649122803</v>
      </c>
      <c r="H48" s="8"/>
      <c r="I48" s="8"/>
      <c r="J48" s="8"/>
    </row>
    <row r="49" spans="1:10" ht="15" customHeight="1" x14ac:dyDescent="0.2">
      <c r="A49" s="32"/>
      <c r="B49" s="50">
        <v>8.1</v>
      </c>
      <c r="C49" s="50">
        <v>222</v>
      </c>
      <c r="D49" s="51">
        <f>ROUND(40107.15*1.07,2)</f>
        <v>42914.65</v>
      </c>
      <c r="E49" s="51">
        <f>ROUND(53867.06*1.07,2)</f>
        <v>57637.75</v>
      </c>
      <c r="F49" s="51">
        <f t="shared" si="2"/>
        <v>193309.23423423426</v>
      </c>
      <c r="G49" s="51">
        <f t="shared" si="3"/>
        <v>259629.5045045045</v>
      </c>
      <c r="H49" s="8"/>
      <c r="I49" s="8"/>
      <c r="J49" s="8"/>
    </row>
    <row r="50" spans="1:10" ht="15" customHeight="1" x14ac:dyDescent="0.2">
      <c r="A50" s="32"/>
      <c r="B50" s="50">
        <v>9.6999999999999993</v>
      </c>
      <c r="C50" s="50">
        <v>319</v>
      </c>
      <c r="D50" s="51">
        <f>ROUND(46409.72*1.07,2)</f>
        <v>49658.400000000001</v>
      </c>
      <c r="E50" s="51">
        <f>ROUND(61605.71*1.07,2)</f>
        <v>65918.11</v>
      </c>
      <c r="F50" s="51">
        <f t="shared" si="2"/>
        <v>155668.96551724139</v>
      </c>
      <c r="G50" s="51">
        <f t="shared" si="3"/>
        <v>206639.84326018809</v>
      </c>
      <c r="H50" s="8"/>
      <c r="I50" s="8"/>
      <c r="J50" s="8"/>
    </row>
    <row r="51" spans="1:10" ht="15" customHeight="1" x14ac:dyDescent="0.2">
      <c r="A51" s="32"/>
      <c r="B51" s="76">
        <v>13</v>
      </c>
      <c r="C51" s="76">
        <v>565.5</v>
      </c>
      <c r="D51" s="72">
        <f>ROUND(67490.82*1.07,2)</f>
        <v>72215.179999999993</v>
      </c>
      <c r="E51" s="72">
        <f>ROUND(84870.57*1.07,2)</f>
        <v>90811.51</v>
      </c>
      <c r="F51" s="72">
        <f t="shared" si="2"/>
        <v>127701.46772767461</v>
      </c>
      <c r="G51" s="72">
        <f t="shared" si="3"/>
        <v>160586.22458001768</v>
      </c>
      <c r="H51" s="8"/>
      <c r="I51" s="8"/>
      <c r="J51" s="8"/>
    </row>
    <row r="52" spans="1:10" ht="15" customHeight="1" x14ac:dyDescent="0.2">
      <c r="A52" s="32"/>
      <c r="B52" s="6"/>
      <c r="C52" s="6"/>
      <c r="D52" s="7"/>
      <c r="E52" s="7"/>
      <c r="F52" s="7"/>
      <c r="G52" s="7"/>
    </row>
    <row r="53" spans="1:10" ht="15" customHeight="1" x14ac:dyDescent="0.2">
      <c r="A53" s="32"/>
      <c r="F53" s="4"/>
      <c r="G53" s="145">
        <v>43435</v>
      </c>
    </row>
    <row r="54" spans="1:10" ht="15" customHeight="1" x14ac:dyDescent="0.2">
      <c r="A54" s="32"/>
      <c r="B54" s="406" t="s">
        <v>8</v>
      </c>
      <c r="C54" s="407"/>
      <c r="D54" s="407"/>
      <c r="E54" s="408"/>
      <c r="F54" s="436" t="s">
        <v>23</v>
      </c>
      <c r="G54" s="436"/>
    </row>
    <row r="55" spans="1:10" ht="15" customHeight="1" x14ac:dyDescent="0.2">
      <c r="A55" s="32"/>
      <c r="B55" s="409" t="s">
        <v>24</v>
      </c>
      <c r="C55" s="410"/>
      <c r="D55" s="410"/>
      <c r="E55" s="411"/>
      <c r="F55" s="436"/>
      <c r="G55" s="436"/>
    </row>
    <row r="56" spans="1:10" ht="24.95" customHeight="1" x14ac:dyDescent="0.2">
      <c r="A56" s="32"/>
      <c r="B56" s="267"/>
      <c r="C56" s="267"/>
      <c r="D56" s="182" t="s">
        <v>197</v>
      </c>
      <c r="E56" s="183"/>
      <c r="F56" s="182" t="s">
        <v>198</v>
      </c>
      <c r="G56" s="183"/>
    </row>
    <row r="57" spans="1:10" x14ac:dyDescent="0.2">
      <c r="A57" s="32"/>
      <c r="B57" s="260" t="s">
        <v>196</v>
      </c>
      <c r="C57" s="260" t="s">
        <v>195</v>
      </c>
      <c r="D57" s="214" t="s">
        <v>191</v>
      </c>
      <c r="E57" s="215" t="s">
        <v>192</v>
      </c>
      <c r="F57" s="214" t="s">
        <v>193</v>
      </c>
      <c r="G57" s="215" t="s">
        <v>194</v>
      </c>
    </row>
    <row r="58" spans="1:10" x14ac:dyDescent="0.2">
      <c r="A58" s="32"/>
      <c r="B58" s="50">
        <v>5</v>
      </c>
      <c r="C58" s="50">
        <v>82.5</v>
      </c>
      <c r="D58" s="51">
        <f>ROUND(44590.46*1.03,2)</f>
        <v>45928.17</v>
      </c>
      <c r="E58" s="51">
        <f>ROUND(56088.75*1.03,2)</f>
        <v>57771.41</v>
      </c>
      <c r="F58" s="51">
        <f t="shared" ref="F58:F68" si="4">D58/C58*1000</f>
        <v>556705.09090909094</v>
      </c>
      <c r="G58" s="51">
        <f t="shared" ref="G58:G68" si="5">E58/C58*1000</f>
        <v>700259.51515151514</v>
      </c>
    </row>
    <row r="59" spans="1:10" x14ac:dyDescent="0.2">
      <c r="A59" s="32"/>
      <c r="B59" s="50">
        <v>5.4</v>
      </c>
      <c r="C59" s="50">
        <v>98.1</v>
      </c>
      <c r="D59" s="51">
        <f>ROUND(46456.89*1.03,2)</f>
        <v>47850.6</v>
      </c>
      <c r="E59" s="51">
        <f>ROUND(58436.53*1.03,2)</f>
        <v>60189.63</v>
      </c>
      <c r="F59" s="51">
        <f t="shared" si="4"/>
        <v>487773.70030581037</v>
      </c>
      <c r="G59" s="51">
        <f t="shared" si="5"/>
        <v>613553.82262996945</v>
      </c>
    </row>
    <row r="60" spans="1:10" x14ac:dyDescent="0.2">
      <c r="A60" s="32"/>
      <c r="B60" s="50">
        <v>5.8</v>
      </c>
      <c r="C60" s="50">
        <v>115.5</v>
      </c>
      <c r="D60" s="51">
        <f>ROUND(48255.3*1.03,2)</f>
        <v>49702.96</v>
      </c>
      <c r="E60" s="51">
        <f>ROUND(60698.59*1.03,2)</f>
        <v>62519.55</v>
      </c>
      <c r="F60" s="51">
        <f t="shared" si="4"/>
        <v>430328.65800865804</v>
      </c>
      <c r="G60" s="51">
        <f t="shared" si="5"/>
        <v>541294.80519480526</v>
      </c>
    </row>
    <row r="61" spans="1:10" x14ac:dyDescent="0.2">
      <c r="A61" s="32"/>
      <c r="B61" s="50">
        <v>6.3</v>
      </c>
      <c r="C61" s="50">
        <v>134</v>
      </c>
      <c r="D61" s="51">
        <f>ROUND(50277.95*1.03,2)</f>
        <v>51786.29</v>
      </c>
      <c r="E61" s="51">
        <f>ROUND(63242.81*1.03,2)</f>
        <v>65140.09</v>
      </c>
      <c r="F61" s="51">
        <f t="shared" si="4"/>
        <v>386464.85074626864</v>
      </c>
      <c r="G61" s="51">
        <f t="shared" si="5"/>
        <v>486120.07462686562</v>
      </c>
    </row>
    <row r="62" spans="1:10" x14ac:dyDescent="0.2">
      <c r="A62" s="32"/>
      <c r="B62" s="50">
        <v>6.7</v>
      </c>
      <c r="C62" s="50">
        <v>153.5</v>
      </c>
      <c r="D62" s="51">
        <f>ROUND(52296.6*1.03,2)</f>
        <v>53865.5</v>
      </c>
      <c r="E62" s="51">
        <f>ROUND(65782.01*1.03,2)</f>
        <v>67755.47</v>
      </c>
      <c r="F62" s="51">
        <f t="shared" si="4"/>
        <v>350915.30944625405</v>
      </c>
      <c r="G62" s="51">
        <f t="shared" si="5"/>
        <v>441403.71335504885</v>
      </c>
    </row>
    <row r="63" spans="1:10" x14ac:dyDescent="0.2">
      <c r="A63" s="32"/>
      <c r="B63" s="50">
        <v>7.6</v>
      </c>
      <c r="C63" s="50">
        <v>197</v>
      </c>
      <c r="D63" s="51">
        <f>ROUND(56015.38*1.03,2)</f>
        <v>57695.839999999997</v>
      </c>
      <c r="E63" s="51">
        <f>ROUND(70459.73*1.03,2)</f>
        <v>72573.52</v>
      </c>
      <c r="F63" s="51">
        <f t="shared" si="4"/>
        <v>292872.28426395939</v>
      </c>
      <c r="G63" s="51">
        <f t="shared" si="5"/>
        <v>368393.50253807107</v>
      </c>
    </row>
    <row r="64" spans="1:10" x14ac:dyDescent="0.2">
      <c r="A64" s="32"/>
      <c r="B64" s="50">
        <v>8.5</v>
      </c>
      <c r="C64" s="50">
        <v>246</v>
      </c>
      <c r="D64" s="51">
        <f>ROUND(61059.67*1.03,2)</f>
        <v>62891.46</v>
      </c>
      <c r="E64" s="51">
        <f>ROUND(76804.76*1.03,2)</f>
        <v>79108.899999999994</v>
      </c>
      <c r="F64" s="51">
        <f t="shared" si="4"/>
        <v>255656.34146341463</v>
      </c>
      <c r="G64" s="51">
        <f t="shared" si="5"/>
        <v>321580.89430894307</v>
      </c>
    </row>
    <row r="65" spans="1:7" x14ac:dyDescent="0.2">
      <c r="A65" s="32"/>
      <c r="B65" s="50">
        <v>9</v>
      </c>
      <c r="C65" s="50">
        <v>273.5</v>
      </c>
      <c r="D65" s="51">
        <f>ROUND(63879.66*1.03,2)</f>
        <v>65796.05</v>
      </c>
      <c r="E65" s="51">
        <f>ROUND(80351.94*1.03,2)</f>
        <v>82762.5</v>
      </c>
      <c r="F65" s="51">
        <f t="shared" si="4"/>
        <v>240570.56672760512</v>
      </c>
      <c r="G65" s="51">
        <f t="shared" si="5"/>
        <v>302605.11882998171</v>
      </c>
    </row>
    <row r="66" spans="1:7" x14ac:dyDescent="0.2">
      <c r="A66" s="32"/>
      <c r="B66" s="50">
        <v>11.5</v>
      </c>
      <c r="C66" s="50">
        <v>427</v>
      </c>
      <c r="D66" s="51">
        <f>ROUND(74898.21*1.03,2)</f>
        <v>77145.16</v>
      </c>
      <c r="E66" s="51">
        <f>ROUND(98922.42*1.03,2)</f>
        <v>101890.09</v>
      </c>
      <c r="F66" s="51">
        <f t="shared" si="4"/>
        <v>180667.82201405152</v>
      </c>
      <c r="G66" s="51">
        <f t="shared" si="5"/>
        <v>238618.47775175644</v>
      </c>
    </row>
    <row r="67" spans="1:7" x14ac:dyDescent="0.2">
      <c r="A67" s="32"/>
      <c r="B67" s="50">
        <v>13.5</v>
      </c>
      <c r="C67" s="50">
        <v>613.5</v>
      </c>
      <c r="D67" s="51">
        <f>ROUND(96079.64*1.03,2)</f>
        <v>98962.03</v>
      </c>
      <c r="E67" s="51">
        <f>ROUND(126897.99*1.03,2)</f>
        <v>130704.93</v>
      </c>
      <c r="F67" s="51">
        <f t="shared" si="4"/>
        <v>161307.30236348818</v>
      </c>
      <c r="G67" s="51">
        <f t="shared" si="5"/>
        <v>213047.97066014668</v>
      </c>
    </row>
    <row r="68" spans="1:7" x14ac:dyDescent="0.2">
      <c r="A68" s="32"/>
      <c r="B68" s="76">
        <v>15.5</v>
      </c>
      <c r="C68" s="76">
        <v>834.5</v>
      </c>
      <c r="D68" s="72">
        <f>ROUND(114004.34*1.03,2)</f>
        <v>117424.47</v>
      </c>
      <c r="E68" s="72">
        <f>ROUND(146186.4*1.03,2)</f>
        <v>150571.99</v>
      </c>
      <c r="F68" s="72">
        <f t="shared" si="4"/>
        <v>140712.36668663871</v>
      </c>
      <c r="G68" s="72">
        <f t="shared" si="5"/>
        <v>180433.78070701018</v>
      </c>
    </row>
  </sheetData>
  <mergeCells count="3">
    <mergeCell ref="F36:G37"/>
    <mergeCell ref="F54:G55"/>
    <mergeCell ref="F2:G3"/>
  </mergeCells>
  <phoneticPr fontId="0" type="noConversion"/>
  <hyperlinks>
    <hyperlink ref="H1" location="'2'!A1" display="Оглавление"/>
  </hyperlinks>
  <printOptions horizontalCentered="1"/>
  <pageMargins left="0.59055118110236227" right="0.59055118110236227" top="0.78740157480314965" bottom="0.98425196850393704" header="0.31496062992125984" footer="0.51181102362204722"/>
  <pageSetup paperSize="9" scale="73" orientation="portrait" r:id="rId1"/>
  <headerFooter alignWithMargins="0">
    <oddHeader>&amp;A</oddHeader>
  </headerFooter>
  <drawing r:id="rId2"/>
  <tableParts count="3">
    <tablePart r:id="rId3"/>
    <tablePart r:id="rId4"/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H35"/>
  <sheetViews>
    <sheetView showGridLines="0" showRowColHeaders="0" view="pageBreakPreview" topLeftCell="A22" zoomScaleNormal="75" zoomScaleSheetLayoutView="100" workbookViewId="0">
      <selection activeCell="D5" sqref="D5"/>
    </sheetView>
  </sheetViews>
  <sheetFormatPr defaultColWidth="8.85546875" defaultRowHeight="12.75" x14ac:dyDescent="0.2"/>
  <cols>
    <col min="1" max="1" width="9.7109375" style="8" customWidth="1"/>
    <col min="2" max="3" width="9.7109375" style="3" customWidth="1"/>
    <col min="4" max="7" width="12.7109375" style="3" customWidth="1"/>
    <col min="8" max="8" width="11.140625" style="3" customWidth="1"/>
    <col min="9" max="16384" width="8.85546875" style="3"/>
  </cols>
  <sheetData>
    <row r="1" spans="1:8" x14ac:dyDescent="0.2">
      <c r="G1" s="145">
        <v>43435</v>
      </c>
      <c r="H1" s="10" t="s">
        <v>114</v>
      </c>
    </row>
    <row r="2" spans="1:8" x14ac:dyDescent="0.2">
      <c r="B2" s="438" t="s">
        <v>19</v>
      </c>
      <c r="C2" s="439"/>
      <c r="D2" s="439"/>
      <c r="E2" s="440"/>
      <c r="F2" s="436" t="s">
        <v>25</v>
      </c>
      <c r="G2" s="436"/>
    </row>
    <row r="3" spans="1:8" x14ac:dyDescent="0.2">
      <c r="B3" s="441" t="s">
        <v>123</v>
      </c>
      <c r="C3" s="442"/>
      <c r="D3" s="442"/>
      <c r="E3" s="443"/>
      <c r="F3" s="436"/>
      <c r="G3" s="436"/>
    </row>
    <row r="4" spans="1:8" ht="24.95" customHeight="1" x14ac:dyDescent="0.2">
      <c r="B4" s="269"/>
      <c r="C4" s="269"/>
      <c r="D4" s="182" t="s">
        <v>197</v>
      </c>
      <c r="E4" s="183"/>
      <c r="F4" s="182" t="s">
        <v>198</v>
      </c>
      <c r="G4" s="183"/>
    </row>
    <row r="5" spans="1:8" x14ac:dyDescent="0.2">
      <c r="B5" s="137" t="s">
        <v>196</v>
      </c>
      <c r="C5" s="138" t="s">
        <v>195</v>
      </c>
      <c r="D5" s="139" t="s">
        <v>191</v>
      </c>
      <c r="E5" s="140" t="s">
        <v>192</v>
      </c>
      <c r="F5" s="139" t="s">
        <v>193</v>
      </c>
      <c r="G5" s="186" t="s">
        <v>194</v>
      </c>
    </row>
    <row r="6" spans="1:8" x14ac:dyDescent="0.2">
      <c r="A6" s="28"/>
      <c r="B6" s="124">
        <v>4.5999999999999996</v>
      </c>
      <c r="C6" s="50">
        <v>77.8</v>
      </c>
      <c r="D6" s="55">
        <f>ROUND(19524.62*1.03,2)</f>
        <v>20110.36</v>
      </c>
      <c r="E6" s="55">
        <f>ROUND(25775.76*1.03,2)</f>
        <v>26549.03</v>
      </c>
      <c r="F6" s="51">
        <f t="shared" ref="F6:F35" si="0">D6/C6*1000</f>
        <v>258487.91773778925</v>
      </c>
      <c r="G6" s="125">
        <f t="shared" ref="G6:G35" si="1">E6/C6*1000</f>
        <v>341247.17223650386</v>
      </c>
      <c r="H6" s="37"/>
    </row>
    <row r="7" spans="1:8" x14ac:dyDescent="0.2">
      <c r="A7" s="28"/>
      <c r="B7" s="124">
        <v>5.0999999999999996</v>
      </c>
      <c r="C7" s="50">
        <v>95.9</v>
      </c>
      <c r="D7" s="55">
        <f>ROUND(22392.05*1.03,2)</f>
        <v>23063.81</v>
      </c>
      <c r="E7" s="55">
        <f>ROUND(29577.63*1.03,2)</f>
        <v>30464.959999999999</v>
      </c>
      <c r="F7" s="51">
        <f t="shared" si="0"/>
        <v>240498.5401459854</v>
      </c>
      <c r="G7" s="125">
        <f t="shared" si="1"/>
        <v>317674.24400417099</v>
      </c>
      <c r="H7" s="37"/>
    </row>
    <row r="8" spans="1:8" x14ac:dyDescent="0.2">
      <c r="A8" s="28"/>
      <c r="B8" s="124">
        <v>5.7</v>
      </c>
      <c r="C8" s="50">
        <v>126</v>
      </c>
      <c r="D8" s="55">
        <f>ROUND(25587.28*1.03,2)</f>
        <v>26354.9</v>
      </c>
      <c r="E8" s="55">
        <f>ROUND(33783.56*1.03,2)</f>
        <v>34797.07</v>
      </c>
      <c r="F8" s="51">
        <f t="shared" si="0"/>
        <v>209165.87301587302</v>
      </c>
      <c r="G8" s="125">
        <f t="shared" si="1"/>
        <v>276167.22222222225</v>
      </c>
      <c r="H8" s="37"/>
    </row>
    <row r="9" spans="1:8" x14ac:dyDescent="0.2">
      <c r="A9" s="28"/>
      <c r="B9" s="124">
        <v>6.4</v>
      </c>
      <c r="C9" s="50">
        <v>153</v>
      </c>
      <c r="D9" s="55">
        <f>ROUND(29117.6*1.03,2)</f>
        <v>29991.13</v>
      </c>
      <c r="E9" s="55">
        <f>ROUND(38440.62*1.03,2)</f>
        <v>39593.839999999997</v>
      </c>
      <c r="F9" s="51">
        <f t="shared" si="0"/>
        <v>196020.4575163399</v>
      </c>
      <c r="G9" s="125">
        <f t="shared" si="1"/>
        <v>258783.26797385619</v>
      </c>
      <c r="H9" s="37"/>
    </row>
    <row r="10" spans="1:8" x14ac:dyDescent="0.2">
      <c r="A10" s="28"/>
      <c r="B10" s="124">
        <v>7.8</v>
      </c>
      <c r="C10" s="50">
        <v>220.5</v>
      </c>
      <c r="D10" s="55">
        <f>ROUND(35389.96*1.03,2)</f>
        <v>36451.660000000003</v>
      </c>
      <c r="E10" s="55">
        <f>ROUND(46736.21*1.03,2)</f>
        <v>48138.3</v>
      </c>
      <c r="F10" s="51">
        <f t="shared" si="0"/>
        <v>165313.65079365083</v>
      </c>
      <c r="G10" s="125">
        <f t="shared" si="1"/>
        <v>218314.28571428571</v>
      </c>
      <c r="H10" s="37"/>
    </row>
    <row r="11" spans="1:8" x14ac:dyDescent="0.2">
      <c r="A11" s="28"/>
      <c r="B11" s="124">
        <v>8.8000000000000007</v>
      </c>
      <c r="C11" s="50">
        <v>293.60000000000002</v>
      </c>
      <c r="D11" s="55">
        <f>ROUND(44757.71*1.03,2)</f>
        <v>46100.44</v>
      </c>
      <c r="E11" s="55">
        <f>ROUND(59116.79*1.03,2)</f>
        <v>60890.29</v>
      </c>
      <c r="F11" s="51">
        <f t="shared" si="0"/>
        <v>157017.84741144415</v>
      </c>
      <c r="G11" s="125">
        <f t="shared" si="1"/>
        <v>207391.99591280651</v>
      </c>
      <c r="H11" s="37"/>
    </row>
    <row r="12" spans="1:8" x14ac:dyDescent="0.2">
      <c r="A12" s="28"/>
      <c r="B12" s="124">
        <v>10.5</v>
      </c>
      <c r="C12" s="50">
        <v>387.5</v>
      </c>
      <c r="D12" s="55">
        <f>ROUND(52424.12*1.03,2)</f>
        <v>53996.84</v>
      </c>
      <c r="E12" s="55">
        <f>ROUND(69212.95*1.03,2)</f>
        <v>71289.34</v>
      </c>
      <c r="F12" s="51">
        <f t="shared" si="0"/>
        <v>139346.68387096771</v>
      </c>
      <c r="G12" s="125">
        <f t="shared" si="1"/>
        <v>183972.49032258062</v>
      </c>
      <c r="H12" s="37"/>
    </row>
    <row r="13" spans="1:8" x14ac:dyDescent="0.2">
      <c r="A13" s="28"/>
      <c r="B13" s="124">
        <v>11.5</v>
      </c>
      <c r="C13" s="50">
        <v>487</v>
      </c>
      <c r="D13" s="55">
        <f>ROUND(60834.93*1.03,2)</f>
        <v>62659.98</v>
      </c>
      <c r="E13" s="55">
        <f>ROUND(82702.87*1.03,2)</f>
        <v>85183.96</v>
      </c>
      <c r="F13" s="51">
        <f t="shared" si="0"/>
        <v>128665.25667351129</v>
      </c>
      <c r="G13" s="125">
        <f t="shared" si="1"/>
        <v>174915.7289527721</v>
      </c>
      <c r="H13" s="37"/>
    </row>
    <row r="14" spans="1:8" x14ac:dyDescent="0.2">
      <c r="A14" s="28"/>
      <c r="B14" s="124">
        <v>12</v>
      </c>
      <c r="C14" s="50">
        <v>530</v>
      </c>
      <c r="D14" s="55">
        <f>ROUND(63632.09*1.03,2)</f>
        <v>65541.05</v>
      </c>
      <c r="E14" s="55">
        <f>ROUND(86522.63*1.03,2)</f>
        <v>89118.31</v>
      </c>
      <c r="F14" s="51">
        <f t="shared" si="0"/>
        <v>123662.35849056605</v>
      </c>
      <c r="G14" s="125">
        <f t="shared" si="1"/>
        <v>168147.75471698112</v>
      </c>
      <c r="H14" s="37"/>
    </row>
    <row r="15" spans="1:8" x14ac:dyDescent="0.2">
      <c r="A15" s="28"/>
      <c r="B15" s="124">
        <v>13</v>
      </c>
      <c r="C15" s="50">
        <v>597.29999999999995</v>
      </c>
      <c r="D15" s="55">
        <f>ROUND(70873.28*1.03,2)</f>
        <v>72999.48</v>
      </c>
      <c r="E15" s="55">
        <f>ROUND(96357.69*1.03,2)</f>
        <v>99248.42</v>
      </c>
      <c r="F15" s="51">
        <f t="shared" si="0"/>
        <v>122215.77096936213</v>
      </c>
      <c r="G15" s="125">
        <f t="shared" si="1"/>
        <v>166161.76125899883</v>
      </c>
      <c r="H15" s="37"/>
    </row>
    <row r="16" spans="1:8" x14ac:dyDescent="0.2">
      <c r="A16" s="28"/>
      <c r="B16" s="124">
        <v>14</v>
      </c>
      <c r="C16" s="50">
        <v>719</v>
      </c>
      <c r="D16" s="55">
        <f>ROUND(84193.08*1.03,2)</f>
        <v>86718.87</v>
      </c>
      <c r="E16" s="55">
        <f>ROUND(114461.21*1.03,2)</f>
        <v>117895.05</v>
      </c>
      <c r="F16" s="51">
        <f t="shared" si="0"/>
        <v>120610.38942976356</v>
      </c>
      <c r="G16" s="125">
        <f t="shared" si="1"/>
        <v>163970.86230876218</v>
      </c>
      <c r="H16" s="37"/>
    </row>
    <row r="17" spans="1:8" x14ac:dyDescent="0.2">
      <c r="A17" s="28"/>
      <c r="B17" s="124">
        <v>15</v>
      </c>
      <c r="C17" s="50">
        <v>852.5</v>
      </c>
      <c r="D17" s="55">
        <f>ROUND(98937.63*1.03,2)</f>
        <v>101905.76</v>
      </c>
      <c r="E17" s="55">
        <f>ROUND(134585.74*1.03,2)</f>
        <v>138623.31</v>
      </c>
      <c r="F17" s="51">
        <f t="shared" si="0"/>
        <v>119537.54838709676</v>
      </c>
      <c r="G17" s="125">
        <f t="shared" si="1"/>
        <v>162607.98826979473</v>
      </c>
      <c r="H17" s="37"/>
    </row>
    <row r="18" spans="1:8" x14ac:dyDescent="0.2">
      <c r="A18" s="28"/>
      <c r="B18" s="124">
        <v>16.5</v>
      </c>
      <c r="C18" s="50">
        <v>996.5</v>
      </c>
      <c r="D18" s="55">
        <f>ROUND(114277.45*1.03,2)</f>
        <v>117705.77</v>
      </c>
      <c r="E18" s="55">
        <f>ROUND(155484.72*1.03,2)</f>
        <v>160149.26</v>
      </c>
      <c r="F18" s="51">
        <f t="shared" si="0"/>
        <v>118119.18715504266</v>
      </c>
      <c r="G18" s="125">
        <f t="shared" si="1"/>
        <v>160711.75112895132</v>
      </c>
      <c r="H18" s="37"/>
    </row>
    <row r="19" spans="1:8" x14ac:dyDescent="0.2">
      <c r="A19" s="28"/>
      <c r="B19" s="124">
        <v>17.5</v>
      </c>
      <c r="C19" s="56">
        <v>1155</v>
      </c>
      <c r="D19" s="55">
        <f>ROUND(130206.97*1.03,2)</f>
        <v>134113.18</v>
      </c>
      <c r="E19" s="55">
        <f>ROUND(177102.02*1.03,2)</f>
        <v>182415.08</v>
      </c>
      <c r="F19" s="51">
        <f t="shared" si="0"/>
        <v>116115.30735930735</v>
      </c>
      <c r="G19" s="125">
        <f t="shared" si="1"/>
        <v>157935.13419913419</v>
      </c>
      <c r="H19" s="37"/>
    </row>
    <row r="20" spans="1:8" x14ac:dyDescent="0.2">
      <c r="A20" s="28"/>
      <c r="B20" s="124">
        <v>19.5</v>
      </c>
      <c r="C20" s="56">
        <v>1370</v>
      </c>
      <c r="D20" s="55">
        <f>ROUND(153018.21*1.03,2)</f>
        <v>157608.76</v>
      </c>
      <c r="E20" s="55">
        <f>ROUND(202048.33*1.03,2)</f>
        <v>208109.78</v>
      </c>
      <c r="F20" s="51">
        <f t="shared" si="0"/>
        <v>115042.89051094891</v>
      </c>
      <c r="G20" s="125">
        <f t="shared" si="1"/>
        <v>151904.94890510949</v>
      </c>
      <c r="H20" s="37"/>
    </row>
    <row r="21" spans="1:8" x14ac:dyDescent="0.2">
      <c r="A21" s="28"/>
      <c r="B21" s="124">
        <v>20.5</v>
      </c>
      <c r="C21" s="56">
        <v>1550</v>
      </c>
      <c r="D21" s="55">
        <f>ROUND(171440.95*1.03,2)</f>
        <v>176584.18</v>
      </c>
      <c r="E21" s="55">
        <f>ROUND(226412.26*1.03,2)</f>
        <v>233204.63</v>
      </c>
      <c r="F21" s="51">
        <f t="shared" si="0"/>
        <v>113925.27741935482</v>
      </c>
      <c r="G21" s="125">
        <f t="shared" si="1"/>
        <v>150454.6</v>
      </c>
      <c r="H21" s="37"/>
    </row>
    <row r="22" spans="1:8" x14ac:dyDescent="0.2">
      <c r="A22" s="28"/>
      <c r="B22" s="124">
        <v>22</v>
      </c>
      <c r="C22" s="56">
        <v>1745</v>
      </c>
      <c r="D22" s="55">
        <f>ROUND(191926.01*1.03,2)</f>
        <v>197683.79</v>
      </c>
      <c r="E22" s="55">
        <f>ROUND(253473.59*1.03,2)</f>
        <v>261077.8</v>
      </c>
      <c r="F22" s="51">
        <f t="shared" si="0"/>
        <v>113285.83954154728</v>
      </c>
      <c r="G22" s="125">
        <f t="shared" si="1"/>
        <v>149614.78510028654</v>
      </c>
      <c r="H22" s="37"/>
    </row>
    <row r="23" spans="1:8" x14ac:dyDescent="0.2">
      <c r="A23" s="28"/>
      <c r="B23" s="124">
        <v>23</v>
      </c>
      <c r="C23" s="56">
        <v>1950</v>
      </c>
      <c r="D23" s="55">
        <f>ROUND(211967.09*1.03,2)</f>
        <v>218326.1</v>
      </c>
      <c r="E23" s="55">
        <f>ROUND(279937.98*1.03,2)</f>
        <v>288336.12</v>
      </c>
      <c r="F23" s="51">
        <f t="shared" si="0"/>
        <v>111962.10256410256</v>
      </c>
      <c r="G23" s="125">
        <f t="shared" si="1"/>
        <v>147864.67692307694</v>
      </c>
      <c r="H23" s="37"/>
    </row>
    <row r="24" spans="1:8" x14ac:dyDescent="0.2">
      <c r="A24" s="28"/>
      <c r="B24" s="124">
        <v>25.5</v>
      </c>
      <c r="C24" s="56">
        <v>2390</v>
      </c>
      <c r="D24" s="55">
        <f>ROUND(259724.56*1.03,2)</f>
        <v>267516.3</v>
      </c>
      <c r="E24" s="55">
        <f>ROUND(342777.04*1.03,2)</f>
        <v>353060.35</v>
      </c>
      <c r="F24" s="51">
        <f t="shared" si="0"/>
        <v>111931.50627615063</v>
      </c>
      <c r="G24" s="125">
        <f t="shared" si="1"/>
        <v>147723.99581589957</v>
      </c>
      <c r="H24" s="37"/>
    </row>
    <row r="25" spans="1:8" x14ac:dyDescent="0.2">
      <c r="A25" s="28"/>
      <c r="B25" s="124">
        <v>28</v>
      </c>
      <c r="C25" s="56">
        <v>2880</v>
      </c>
      <c r="D25" s="55">
        <f>ROUND(312347*1.03,2)</f>
        <v>321717.40999999997</v>
      </c>
      <c r="E25" s="55">
        <f>ROUND(412522.87*1.03,2)</f>
        <v>424898.56</v>
      </c>
      <c r="F25" s="57">
        <f t="shared" si="0"/>
        <v>111707.43402777777</v>
      </c>
      <c r="G25" s="126">
        <f t="shared" si="1"/>
        <v>147534.22222222222</v>
      </c>
      <c r="H25" s="37"/>
    </row>
    <row r="26" spans="1:8" x14ac:dyDescent="0.2">
      <c r="A26" s="28"/>
      <c r="B26" s="124">
        <v>30.5</v>
      </c>
      <c r="C26" s="56">
        <v>3410</v>
      </c>
      <c r="D26" s="55">
        <f>ROUND(368167.52*1.03,2)</f>
        <v>379212.55</v>
      </c>
      <c r="E26" s="55">
        <f>ROUND(485956.6*1.03,2)</f>
        <v>500535.3</v>
      </c>
      <c r="F26" s="57">
        <f t="shared" si="0"/>
        <v>111206.02639296188</v>
      </c>
      <c r="G26" s="126">
        <f t="shared" si="1"/>
        <v>146784.54545454544</v>
      </c>
      <c r="H26" s="37"/>
    </row>
    <row r="27" spans="1:8" x14ac:dyDescent="0.2">
      <c r="A27" s="28"/>
      <c r="B27" s="124">
        <v>32.5</v>
      </c>
      <c r="C27" s="56">
        <v>3990</v>
      </c>
      <c r="D27" s="55">
        <f>ROUND(420144.56*1.03,2)</f>
        <v>432748.9</v>
      </c>
      <c r="E27" s="55">
        <f>ROUND(554798.08*1.03,2)</f>
        <v>571442.02</v>
      </c>
      <c r="F27" s="57">
        <f t="shared" si="0"/>
        <v>108458.3709273183</v>
      </c>
      <c r="G27" s="126">
        <f t="shared" si="1"/>
        <v>143218.55137844611</v>
      </c>
      <c r="H27" s="37"/>
    </row>
    <row r="28" spans="1:8" x14ac:dyDescent="0.2">
      <c r="A28" s="28"/>
      <c r="B28" s="124">
        <v>35</v>
      </c>
      <c r="C28" s="56">
        <v>4610</v>
      </c>
      <c r="D28" s="55">
        <f>ROUND(485014.88*1.03,2)</f>
        <v>499565.33</v>
      </c>
      <c r="E28" s="55">
        <f>ROUND(640690.19*1.03,2)</f>
        <v>659910.9</v>
      </c>
      <c r="F28" s="57">
        <f t="shared" si="0"/>
        <v>108365.5813449024</v>
      </c>
      <c r="G28" s="126">
        <f t="shared" si="1"/>
        <v>143147.70065075922</v>
      </c>
      <c r="H28" s="37"/>
    </row>
    <row r="29" spans="1:8" x14ac:dyDescent="0.2">
      <c r="A29" s="28"/>
      <c r="B29" s="124">
        <v>37</v>
      </c>
      <c r="C29" s="56">
        <v>5035</v>
      </c>
      <c r="D29" s="55">
        <f>ROUND(526651.86*1.03,2)</f>
        <v>542451.42000000004</v>
      </c>
      <c r="E29" s="55">
        <f>ROUND(695045.12*1.03,2)</f>
        <v>715896.47</v>
      </c>
      <c r="F29" s="51">
        <f t="shared" si="0"/>
        <v>107736.13108242305</v>
      </c>
      <c r="G29" s="125">
        <f t="shared" si="1"/>
        <v>142184.00595829193</v>
      </c>
      <c r="H29" s="37"/>
    </row>
    <row r="30" spans="1:8" x14ac:dyDescent="0.2">
      <c r="A30" s="28"/>
      <c r="B30" s="124">
        <v>39</v>
      </c>
      <c r="C30" s="56">
        <v>5475</v>
      </c>
      <c r="D30" s="55">
        <f>ROUND(570357.95*1.03,2)</f>
        <v>587468.68999999994</v>
      </c>
      <c r="E30" s="55">
        <f>ROUND(753294.2*1.03,2)</f>
        <v>775893.03</v>
      </c>
      <c r="F30" s="51">
        <f t="shared" si="0"/>
        <v>107300.21735159817</v>
      </c>
      <c r="G30" s="125">
        <f t="shared" si="1"/>
        <v>141715.62191780822</v>
      </c>
      <c r="H30" s="37"/>
    </row>
    <row r="31" spans="1:8" x14ac:dyDescent="0.2">
      <c r="A31" s="28"/>
      <c r="B31" s="124">
        <v>40</v>
      </c>
      <c r="C31" s="56">
        <v>5830</v>
      </c>
      <c r="D31" s="55">
        <f>ROUND(599602.86*1.03,2)</f>
        <v>617590.94999999995</v>
      </c>
      <c r="E31" s="55">
        <f>ROUND(791678.47*1.03,2)</f>
        <v>815428.82</v>
      </c>
      <c r="F31" s="51">
        <f t="shared" si="0"/>
        <v>105933.26758147513</v>
      </c>
      <c r="G31" s="125">
        <f t="shared" si="1"/>
        <v>139867.72212692967</v>
      </c>
      <c r="H31" s="37"/>
    </row>
    <row r="32" spans="1:8" x14ac:dyDescent="0.2">
      <c r="A32" s="28"/>
      <c r="B32" s="124">
        <v>41</v>
      </c>
      <c r="C32" s="56">
        <v>6200</v>
      </c>
      <c r="D32" s="55">
        <f>ROUND(635924.64*1.03,2)</f>
        <v>655002.38</v>
      </c>
      <c r="E32" s="55">
        <f>ROUND(839636.64*1.03,2)</f>
        <v>864825.74</v>
      </c>
      <c r="F32" s="51">
        <f t="shared" si="0"/>
        <v>105645.54516129033</v>
      </c>
      <c r="G32" s="125">
        <f t="shared" si="1"/>
        <v>139488.02258064516</v>
      </c>
      <c r="H32" s="37"/>
    </row>
    <row r="33" spans="1:8" x14ac:dyDescent="0.2">
      <c r="A33" s="28"/>
      <c r="B33" s="124">
        <v>43.5</v>
      </c>
      <c r="C33" s="56">
        <v>6975</v>
      </c>
      <c r="D33" s="55">
        <f>ROUND(713716.99*1.03,2)</f>
        <v>735128.5</v>
      </c>
      <c r="E33" s="55"/>
      <c r="F33" s="51">
        <f t="shared" si="0"/>
        <v>105394.7670250896</v>
      </c>
      <c r="G33" s="125"/>
      <c r="H33" s="37"/>
    </row>
    <row r="34" spans="1:8" x14ac:dyDescent="0.2">
      <c r="A34" s="28"/>
      <c r="B34" s="124">
        <v>45</v>
      </c>
      <c r="C34" s="56">
        <v>7370</v>
      </c>
      <c r="D34" s="55">
        <f>ROUND(749656.27*1.03,2)</f>
        <v>772145.96</v>
      </c>
      <c r="E34" s="55">
        <f>ROUND(989800.12*1.03,2)</f>
        <v>1019494.12</v>
      </c>
      <c r="F34" s="51">
        <f t="shared" si="0"/>
        <v>104768.78697421981</v>
      </c>
      <c r="G34" s="125">
        <f t="shared" si="1"/>
        <v>138330.27408412483</v>
      </c>
      <c r="H34" s="37"/>
    </row>
    <row r="35" spans="1:8" x14ac:dyDescent="0.2">
      <c r="A35" s="28"/>
      <c r="B35" s="127">
        <v>46</v>
      </c>
      <c r="C35" s="77">
        <v>7790</v>
      </c>
      <c r="D35" s="415">
        <f>ROUND(792337.07*1.03,2)</f>
        <v>816107.18</v>
      </c>
      <c r="E35" s="415">
        <f>ROUND(1046149.48*1.03,2)</f>
        <v>1077533.96</v>
      </c>
      <c r="F35" s="72">
        <f t="shared" si="0"/>
        <v>104763.4377406932</v>
      </c>
      <c r="G35" s="128">
        <f t="shared" si="1"/>
        <v>138322.7163029525</v>
      </c>
      <c r="H35" s="37"/>
    </row>
  </sheetData>
  <mergeCells count="3">
    <mergeCell ref="B2:E2"/>
    <mergeCell ref="F2:G3"/>
    <mergeCell ref="B3:E3"/>
  </mergeCells>
  <phoneticPr fontId="0" type="noConversion"/>
  <hyperlinks>
    <hyperlink ref="H1" location="'2'!A1" display="Оглавление"/>
  </hyperlinks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&amp;A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17</vt:i4>
      </vt:variant>
    </vt:vector>
  </HeadingPairs>
  <TitlesOfParts>
    <vt:vector size="3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'17'!Область_печати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2014-09-24T10:35:52Z</dcterms:created>
  <dcterms:modified xsi:type="dcterms:W3CDTF">2019-01-23T10:17:01Z</dcterms:modified>
</cp:coreProperties>
</file>